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 17" sheetId="6" r:id="rId6"/>
  </sheets>
  <definedNames/>
  <calcPr fullCalcOnLoad="1"/>
</workbook>
</file>

<file path=xl/sharedStrings.xml><?xml version="1.0" encoding="utf-8"?>
<sst xmlns="http://schemas.openxmlformats.org/spreadsheetml/2006/main" count="923" uniqueCount="203">
  <si>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</si>
  <si>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</si>
  <si>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</si>
  <si>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</si>
  <si>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</si>
  <si>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</si>
  <si>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</si>
  <si>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</si>
  <si>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</si>
  <si>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</si>
  <si>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</si>
  <si>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</si>
  <si>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</si>
  <si>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</si>
  <si>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</si>
  <si>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</si>
  <si>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</si>
  <si>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</si>
  <si>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</si>
  <si>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</si>
  <si>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</si>
  <si>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</si>
  <si>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</si>
  <si>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</si>
  <si>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</si>
  <si>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</si>
  <si>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</si>
  <si>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</si>
  <si>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</si>
  <si>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</si>
  <si>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</si>
  <si>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</si>
  <si>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</si>
  <si>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</si>
  <si>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</si>
  <si>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</si>
  <si>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</si>
  <si>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</si>
  <si>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</si>
  <si>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</si>
  <si>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</si>
  <si>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</si>
  <si>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</si>
  <si>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</si>
  <si>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</si>
  <si>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</si>
  <si>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</si>
  <si>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</si>
  <si>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</si>
  <si>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</si>
  <si>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</si>
  <si>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</si>
  <si>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</si>
  <si>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</si>
  <si>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</si>
  <si>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</si>
  <si>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</si>
  <si>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</si>
  <si>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</si>
  <si>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</si>
  <si>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</si>
  <si>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</si>
  <si>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</si>
  <si>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</si>
  <si>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</si>
  <si>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</si>
  <si>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</si>
  <si>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</si>
  <si>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</si>
  <si>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</si>
  <si>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</si>
  <si>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</si>
  <si>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</si>
  <si>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</si>
  <si>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</si>
  <si>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</si>
  <si>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</si>
  <si>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</si>
  <si>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</si>
  <si>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</si>
  <si>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</si>
  <si>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</si>
  <si>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</si>
  <si>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</si>
  <si>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</si>
  <si>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</si>
  <si>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</si>
  <si>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</si>
  <si>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</si>
  <si>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</si>
  <si>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</si>
  <si>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</si>
  <si>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</si>
  <si>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</si>
  <si>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</si>
  <si>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</si>
  <si>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</si>
  <si>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</si>
  <si>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</si>
  <si>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</si>
  <si>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</si>
  <si>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</si>
  <si>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</si>
  <si>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</si>
  <si>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</si>
  <si>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</si>
  <si>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</si>
  <si>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</si>
  <si>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</si>
  <si>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</si>
  <si>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</si>
  <si>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</si>
  <si>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</si>
  <si>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</si>
  <si>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</si>
  <si>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</si>
  <si>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</si>
  <si>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</si>
  <si>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</si>
  <si>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</si>
  <si>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</si>
  <si>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</si>
  <si>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</si>
  <si>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</si>
  <si>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</si>
  <si>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</si>
  <si>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</si>
  <si>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</si>
  <si>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</si>
  <si>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</si>
  <si>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</si>
  <si>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</si>
  <si>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</si>
  <si>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</si>
  <si>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</si>
  <si>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</si>
  <si>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</si>
  <si>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</si>
  <si>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</si>
  <si>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</si>
  <si>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</si>
  <si>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</si>
  <si>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</si>
  <si>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</si>
  <si>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</si>
  <si>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</si>
  <si>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</si>
  <si>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</si>
  <si>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</si>
  <si>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</si>
  <si>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</si>
  <si>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</si>
  <si>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</si>
  <si>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</si>
  <si>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</si>
  <si>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</si>
  <si>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</si>
  <si>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</si>
  <si>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</si>
  <si>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</si>
  <si>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</si>
  <si>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</si>
  <si>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</si>
  <si>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</si>
  <si>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</si>
  <si>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</si>
  <si>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</si>
  <si>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</si>
  <si>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</si>
  <si>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</si>
  <si>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</si>
  <si>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</si>
  <si>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</si>
  <si>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</si>
  <si>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</si>
  <si>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</si>
  <si>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</si>
  <si>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</si>
  <si>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</si>
  <si>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</si>
  <si>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</si>
  <si>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</si>
  <si>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</si>
  <si>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</si>
  <si>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</si>
  <si>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</si>
  <si>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</si>
  <si>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</si>
  <si>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</si>
  <si>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</si>
  <si>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</si>
  <si>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</si>
  <si>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</si>
  <si>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</si>
  <si>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</si>
  <si>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</si>
  <si>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</si>
  <si>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</si>
  <si>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</si>
  <si>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</si>
  <si>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</si>
  <si>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08.06.2017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</si>
  <si>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07.06.17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</si>
</sst>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4" fillId="13" borderId="18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24"/>
  <sheetViews>
    <sheetView tabSelected="1" zoomScale="74" zoomScaleNormal="74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88" t="s">
        <v>201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85"/>
      <c r="S1" s="85"/>
      <c r="T1" s="85"/>
      <c r="U1" s="86"/>
    </row>
    <row r="2" spans="2:21" s="1" customFormat="1" ht="15.75" customHeight="1">
      <c r="B2" s="289"/>
      <c r="C2" s="289"/>
      <c r="D2" s="289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90"/>
      <c r="B3" s="292"/>
      <c r="C3" s="293" t="s">
        <v>0</v>
      </c>
      <c r="D3" s="294" t="s">
        <v>137</v>
      </c>
      <c r="E3" s="31"/>
      <c r="F3" s="295" t="s">
        <v>26</v>
      </c>
      <c r="G3" s="296"/>
      <c r="H3" s="296"/>
      <c r="I3" s="296"/>
      <c r="J3" s="297"/>
      <c r="K3" s="82"/>
      <c r="L3" s="82"/>
      <c r="M3" s="82"/>
      <c r="N3" s="298" t="s">
        <v>199</v>
      </c>
      <c r="O3" s="301" t="s">
        <v>200</v>
      </c>
      <c r="P3" s="301"/>
      <c r="Q3" s="301"/>
      <c r="R3" s="301"/>
      <c r="S3" s="301"/>
      <c r="T3" s="301"/>
      <c r="U3" s="301"/>
    </row>
    <row r="4" spans="1:21" ht="22.5" customHeight="1">
      <c r="A4" s="290"/>
      <c r="B4" s="292"/>
      <c r="C4" s="293"/>
      <c r="D4" s="294"/>
      <c r="E4" s="302" t="s">
        <v>196</v>
      </c>
      <c r="F4" s="304" t="s">
        <v>33</v>
      </c>
      <c r="G4" s="306" t="s">
        <v>197</v>
      </c>
      <c r="H4" s="299" t="s">
        <v>198</v>
      </c>
      <c r="I4" s="306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8" t="s">
        <v>202</v>
      </c>
      <c r="P4" s="306" t="s">
        <v>49</v>
      </c>
      <c r="Q4" s="310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91"/>
      <c r="B5" s="292"/>
      <c r="C5" s="293"/>
      <c r="D5" s="294"/>
      <c r="E5" s="303"/>
      <c r="F5" s="305"/>
      <c r="G5" s="307"/>
      <c r="H5" s="300"/>
      <c r="I5" s="307"/>
      <c r="J5" s="300"/>
      <c r="K5" s="311" t="s">
        <v>191</v>
      </c>
      <c r="L5" s="312"/>
      <c r="M5" s="313"/>
      <c r="N5" s="300"/>
      <c r="O5" s="309"/>
      <c r="P5" s="307"/>
      <c r="Q5" s="310"/>
      <c r="R5" s="314" t="s">
        <v>190</v>
      </c>
      <c r="S5" s="315"/>
      <c r="T5" s="316" t="s">
        <v>181</v>
      </c>
      <c r="U5" s="316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608875.6</v>
      </c>
      <c r="F8" s="149">
        <f>F9+F15+F18+F19+F23+F17</f>
        <v>521835.89999999997</v>
      </c>
      <c r="G8" s="149">
        <f aca="true" t="shared" si="0" ref="G8:G40">F8-E8</f>
        <v>-87039.70000000001</v>
      </c>
      <c r="H8" s="150">
        <f>F8/E8*100</f>
        <v>85.70484677001345</v>
      </c>
      <c r="I8" s="151">
        <f>F8-D8</f>
        <v>-776615.2000000002</v>
      </c>
      <c r="J8" s="151">
        <f>F8/D8*100</f>
        <v>40.189106852002354</v>
      </c>
      <c r="K8" s="149">
        <v>374994.96</v>
      </c>
      <c r="L8" s="149">
        <f aca="true" t="shared" si="1" ref="L8:L54">F8-K8</f>
        <v>146840.93999999994</v>
      </c>
      <c r="M8" s="203">
        <f aca="true" t="shared" si="2" ref="M8:M31">F8/K8</f>
        <v>1.3915811028500222</v>
      </c>
      <c r="N8" s="149">
        <f>N9+N15+N18+N19+N23+N17</f>
        <v>104172</v>
      </c>
      <c r="O8" s="149">
        <f>O9+O15+O18+O19+O23+O17</f>
        <v>16739.93999999995</v>
      </c>
      <c r="P8" s="149">
        <f>O8-N8</f>
        <v>-87432.06000000006</v>
      </c>
      <c r="Q8" s="149">
        <f>O8/N8*100</f>
        <v>16.069519640594354</v>
      </c>
      <c r="R8" s="15">
        <f>R9+R15+R18+R19+R23</f>
        <v>104639</v>
      </c>
      <c r="S8" s="15">
        <f>O8-R8</f>
        <v>-87899.06000000006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349240</v>
      </c>
      <c r="F9" s="154">
        <v>295446.54</v>
      </c>
      <c r="G9" s="148">
        <f t="shared" si="0"/>
        <v>-53793.46000000002</v>
      </c>
      <c r="H9" s="155">
        <f>F9/E9*100</f>
        <v>84.5969934715382</v>
      </c>
      <c r="I9" s="156">
        <f>F9-D9</f>
        <v>-471198.46</v>
      </c>
      <c r="J9" s="156">
        <f>F9/D9*100</f>
        <v>38.53759432331783</v>
      </c>
      <c r="K9" s="225">
        <v>199100.92</v>
      </c>
      <c r="L9" s="157">
        <f t="shared" si="1"/>
        <v>96345.61999999997</v>
      </c>
      <c r="M9" s="204">
        <f t="shared" si="2"/>
        <v>1.4839034395220272</v>
      </c>
      <c r="N9" s="155">
        <f>E9-травень!E9</f>
        <v>70400</v>
      </c>
      <c r="O9" s="158">
        <f>F9-травень!F9</f>
        <v>13814.959999999963</v>
      </c>
      <c r="P9" s="159">
        <f>O9-N9</f>
        <v>-56585.04000000004</v>
      </c>
      <c r="Q9" s="156">
        <f>O9/N9*100</f>
        <v>19.623522727272675</v>
      </c>
      <c r="R9" s="99">
        <v>57980</v>
      </c>
      <c r="S9" s="99">
        <f>O9-R9</f>
        <v>-44165.04000000004</v>
      </c>
      <c r="T9" s="99">
        <f>березень!F9+квітень!R9</f>
        <v>223567.36</v>
      </c>
      <c r="U9" s="99">
        <f>F9-T9</f>
        <v>71879.18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318064</v>
      </c>
      <c r="F10" s="138">
        <v>271065.98</v>
      </c>
      <c r="G10" s="102">
        <f t="shared" si="0"/>
        <v>-46998.02000000002</v>
      </c>
      <c r="H10" s="29">
        <f aca="true" t="shared" si="3" ref="H10:H39">F10/E10*100</f>
        <v>85.22372226973187</v>
      </c>
      <c r="I10" s="103">
        <f aca="true" t="shared" si="4" ref="I10:I40">F10-D10</f>
        <v>-430251.02</v>
      </c>
      <c r="J10" s="103">
        <f aca="true" t="shared" si="5" ref="J10:J39">F10/D10*100</f>
        <v>38.65099234725523</v>
      </c>
      <c r="K10" s="105">
        <v>174168.33</v>
      </c>
      <c r="L10" s="105">
        <f t="shared" si="1"/>
        <v>96897.65</v>
      </c>
      <c r="M10" s="205">
        <f t="shared" si="2"/>
        <v>1.5563448303144436</v>
      </c>
      <c r="N10" s="104">
        <f>E10-травень!E10</f>
        <v>64904</v>
      </c>
      <c r="O10" s="142">
        <f>F10-травень!F10</f>
        <v>13486.799999999988</v>
      </c>
      <c r="P10" s="105">
        <f aca="true" t="shared" si="6" ref="P10:P40">O10-N10</f>
        <v>-51417.20000000001</v>
      </c>
      <c r="Q10" s="103">
        <f aca="true" t="shared" si="7" ref="Q10:Q27">O10/N10*100</f>
        <v>20.77961296684332</v>
      </c>
      <c r="R10" s="36"/>
      <c r="S10" s="99">
        <f aca="true" t="shared" si="8" ref="S10:S35">O10-R10</f>
        <v>13486.799999999988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22200</v>
      </c>
      <c r="F11" s="138">
        <v>15900.5</v>
      </c>
      <c r="G11" s="102">
        <f t="shared" si="0"/>
        <v>-6299.5</v>
      </c>
      <c r="H11" s="29">
        <f t="shared" si="3"/>
        <v>71.62387387387388</v>
      </c>
      <c r="I11" s="103">
        <f t="shared" si="4"/>
        <v>-30605.5</v>
      </c>
      <c r="J11" s="103">
        <f t="shared" si="5"/>
        <v>34.19021201565389</v>
      </c>
      <c r="K11" s="105">
        <v>14679.25</v>
      </c>
      <c r="L11" s="105">
        <f t="shared" si="1"/>
        <v>1221.25</v>
      </c>
      <c r="M11" s="205">
        <f t="shared" si="2"/>
        <v>1.0831956673535774</v>
      </c>
      <c r="N11" s="104">
        <f>E11-травень!E11</f>
        <v>3840</v>
      </c>
      <c r="O11" s="142">
        <f>F11-травень!F11</f>
        <v>80.60000000000036</v>
      </c>
      <c r="P11" s="105">
        <f t="shared" si="6"/>
        <v>-3759.3999999999996</v>
      </c>
      <c r="Q11" s="103">
        <f t="shared" si="7"/>
        <v>2.098958333333343</v>
      </c>
      <c r="R11" s="36"/>
      <c r="S11" s="99">
        <f t="shared" si="8"/>
        <v>80.60000000000036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3840</v>
      </c>
      <c r="F12" s="138">
        <v>3903.21</v>
      </c>
      <c r="G12" s="102">
        <f t="shared" si="0"/>
        <v>63.210000000000036</v>
      </c>
      <c r="H12" s="29">
        <f t="shared" si="3"/>
        <v>101.64609375</v>
      </c>
      <c r="I12" s="103">
        <f t="shared" si="4"/>
        <v>-4376.79</v>
      </c>
      <c r="J12" s="103">
        <f t="shared" si="5"/>
        <v>47.140217391304354</v>
      </c>
      <c r="K12" s="105">
        <v>4583.23</v>
      </c>
      <c r="L12" s="105">
        <f t="shared" si="1"/>
        <v>-680.0199999999995</v>
      </c>
      <c r="M12" s="205">
        <f t="shared" si="2"/>
        <v>0.8516286549005833</v>
      </c>
      <c r="N12" s="104">
        <f>E12-травень!E12</f>
        <v>900</v>
      </c>
      <c r="O12" s="142">
        <f>F12-травень!F12</f>
        <v>160.94999999999982</v>
      </c>
      <c r="P12" s="105">
        <f t="shared" si="6"/>
        <v>-739.0500000000002</v>
      </c>
      <c r="Q12" s="103">
        <f t="shared" si="7"/>
        <v>17.88333333333331</v>
      </c>
      <c r="R12" s="36"/>
      <c r="S12" s="99">
        <f t="shared" si="8"/>
        <v>160.94999999999982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4560</v>
      </c>
      <c r="F13" s="138">
        <v>3946.46</v>
      </c>
      <c r="G13" s="102">
        <f t="shared" si="0"/>
        <v>-613.54</v>
      </c>
      <c r="H13" s="29">
        <f t="shared" si="3"/>
        <v>86.54517543859649</v>
      </c>
      <c r="I13" s="103">
        <f t="shared" si="4"/>
        <v>-5443.54</v>
      </c>
      <c r="J13" s="103">
        <f t="shared" si="5"/>
        <v>42.0283280085197</v>
      </c>
      <c r="K13" s="105">
        <v>3763.44</v>
      </c>
      <c r="L13" s="105">
        <f t="shared" si="1"/>
        <v>183.01999999999998</v>
      </c>
      <c r="M13" s="205">
        <f t="shared" si="2"/>
        <v>1.0486310396870948</v>
      </c>
      <c r="N13" s="104">
        <f>E13-травень!E13</f>
        <v>660</v>
      </c>
      <c r="O13" s="142">
        <f>F13-травень!F13</f>
        <v>63.86999999999989</v>
      </c>
      <c r="P13" s="105">
        <f t="shared" si="6"/>
        <v>-596.1300000000001</v>
      </c>
      <c r="Q13" s="103">
        <f t="shared" si="7"/>
        <v>9.67727272727271</v>
      </c>
      <c r="R13" s="36"/>
      <c r="S13" s="99">
        <f t="shared" si="8"/>
        <v>63.86999999999989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576</v>
      </c>
      <c r="F14" s="138">
        <v>630.4</v>
      </c>
      <c r="G14" s="102">
        <f t="shared" si="0"/>
        <v>54.39999999999998</v>
      </c>
      <c r="H14" s="29">
        <f t="shared" si="3"/>
        <v>109.44444444444443</v>
      </c>
      <c r="I14" s="103">
        <f t="shared" si="4"/>
        <v>-521.6</v>
      </c>
      <c r="J14" s="103">
        <f t="shared" si="5"/>
        <v>54.722222222222214</v>
      </c>
      <c r="K14" s="105">
        <v>1906.68</v>
      </c>
      <c r="L14" s="105">
        <f t="shared" si="1"/>
        <v>-1276.2800000000002</v>
      </c>
      <c r="M14" s="205">
        <f t="shared" si="2"/>
        <v>0.33062705855203806</v>
      </c>
      <c r="N14" s="104">
        <f>E14-травень!E14</f>
        <v>96</v>
      </c>
      <c r="O14" s="142">
        <f>F14-травень!F14</f>
        <v>22.75</v>
      </c>
      <c r="P14" s="105">
        <f t="shared" si="6"/>
        <v>-73.25</v>
      </c>
      <c r="Q14" s="103">
        <f t="shared" si="7"/>
        <v>23.697916666666664</v>
      </c>
      <c r="R14" s="36"/>
      <c r="S14" s="99">
        <f t="shared" si="8"/>
        <v>22.75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E15-травень!E15</f>
        <v>0</v>
      </c>
      <c r="O15" s="166">
        <f>F15-травень!F15</f>
        <v>0</v>
      </c>
      <c r="P15" s="159">
        <f t="shared" si="6"/>
        <v>0</v>
      </c>
      <c r="Q15" s="156"/>
      <c r="R15" s="36">
        <v>150</v>
      </c>
      <c r="S15" s="99">
        <f t="shared" si="8"/>
        <v>-150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E16-травень!E16</f>
        <v>0</v>
      </c>
      <c r="O16" s="166">
        <f>F16-травень!F16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0.14</v>
      </c>
      <c r="L17" s="159">
        <f t="shared" si="1"/>
        <v>0.35</v>
      </c>
      <c r="M17" s="206">
        <f t="shared" si="2"/>
        <v>3.4999999999999996</v>
      </c>
      <c r="N17" s="162">
        <f>E17-травень!E17</f>
        <v>0</v>
      </c>
      <c r="O17" s="166">
        <f>F17-травень!F17</f>
        <v>0</v>
      </c>
      <c r="P17" s="165">
        <f t="shared" si="6"/>
        <v>0</v>
      </c>
      <c r="Q17" s="156"/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E18-травень!E18</f>
        <v>0</v>
      </c>
      <c r="O18" s="166">
        <f>F18-травень!F18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v>59600</v>
      </c>
      <c r="F19" s="154">
        <v>45857.24</v>
      </c>
      <c r="G19" s="160">
        <f t="shared" si="0"/>
        <v>-13742.760000000002</v>
      </c>
      <c r="H19" s="162">
        <f t="shared" si="3"/>
        <v>76.94167785234899</v>
      </c>
      <c r="I19" s="163">
        <f t="shared" si="4"/>
        <v>-84142.76000000001</v>
      </c>
      <c r="J19" s="163">
        <f t="shared" si="5"/>
        <v>35.2748</v>
      </c>
      <c r="K19" s="159">
        <v>35230.56</v>
      </c>
      <c r="L19" s="165">
        <f t="shared" si="1"/>
        <v>10626.68</v>
      </c>
      <c r="M19" s="211">
        <f t="shared" si="2"/>
        <v>1.3016324463761009</v>
      </c>
      <c r="N19" s="162">
        <f>E19-травень!E19</f>
        <v>11200</v>
      </c>
      <c r="O19" s="166">
        <f>F19-травень!F19</f>
        <v>862.1500000000015</v>
      </c>
      <c r="P19" s="165">
        <f t="shared" si="6"/>
        <v>-10337.849999999999</v>
      </c>
      <c r="Q19" s="163">
        <f t="shared" si="7"/>
        <v>7.69776785714287</v>
      </c>
      <c r="R19" s="36">
        <v>9450</v>
      </c>
      <c r="S19" s="99">
        <f t="shared" si="8"/>
        <v>-8587.849999999999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35900</v>
      </c>
      <c r="F20" s="199">
        <v>26201.14</v>
      </c>
      <c r="G20" s="250">
        <f t="shared" si="0"/>
        <v>-9698.86</v>
      </c>
      <c r="H20" s="193">
        <f t="shared" si="3"/>
        <v>72.98367688022283</v>
      </c>
      <c r="I20" s="251">
        <f t="shared" si="4"/>
        <v>-50298.86</v>
      </c>
      <c r="J20" s="251">
        <f t="shared" si="5"/>
        <v>34.24985620915032</v>
      </c>
      <c r="K20" s="252">
        <v>35230.56</v>
      </c>
      <c r="L20" s="164">
        <f t="shared" si="1"/>
        <v>-9029.419999999998</v>
      </c>
      <c r="M20" s="253">
        <f t="shared" si="2"/>
        <v>0.7437048971120528</v>
      </c>
      <c r="N20" s="193">
        <f>E20-травень!E20</f>
        <v>6250</v>
      </c>
      <c r="O20" s="177">
        <f>F20-травень!F20</f>
        <v>72.64999999999782</v>
      </c>
      <c r="P20" s="164">
        <f t="shared" si="6"/>
        <v>-6177.350000000002</v>
      </c>
      <c r="Q20" s="251">
        <f t="shared" si="7"/>
        <v>1.162399999999965</v>
      </c>
      <c r="R20" s="106">
        <v>4450</v>
      </c>
      <c r="S20" s="99">
        <f t="shared" si="8"/>
        <v>-4377.350000000002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4900</v>
      </c>
      <c r="F21" s="199">
        <v>4095.9</v>
      </c>
      <c r="G21" s="250">
        <f t="shared" si="0"/>
        <v>-804.0999999999999</v>
      </c>
      <c r="H21" s="193"/>
      <c r="I21" s="251">
        <f t="shared" si="4"/>
        <v>-6604.1</v>
      </c>
      <c r="J21" s="251">
        <f t="shared" si="5"/>
        <v>38.27943925233645</v>
      </c>
      <c r="K21" s="252">
        <v>0</v>
      </c>
      <c r="L21" s="164">
        <f t="shared" si="1"/>
        <v>4095.9</v>
      </c>
      <c r="M21" s="253"/>
      <c r="N21" s="193">
        <f>E21-травень!E21</f>
        <v>950</v>
      </c>
      <c r="O21" s="177">
        <f>F21-травень!F21</f>
        <v>2.2100000000000364</v>
      </c>
      <c r="P21" s="164">
        <f t="shared" si="6"/>
        <v>-947.79</v>
      </c>
      <c r="Q21" s="251"/>
      <c r="R21" s="106">
        <v>1000</v>
      </c>
      <c r="S21" s="99">
        <f t="shared" si="8"/>
        <v>-997.79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18800</v>
      </c>
      <c r="F22" s="199">
        <v>15560.2</v>
      </c>
      <c r="G22" s="250">
        <f t="shared" si="0"/>
        <v>-3239.7999999999993</v>
      </c>
      <c r="H22" s="193"/>
      <c r="I22" s="251">
        <f t="shared" si="4"/>
        <v>-27239.8</v>
      </c>
      <c r="J22" s="251">
        <f t="shared" si="5"/>
        <v>36.35560747663551</v>
      </c>
      <c r="K22" s="252">
        <v>0</v>
      </c>
      <c r="L22" s="164">
        <f t="shared" si="1"/>
        <v>15560.2</v>
      </c>
      <c r="M22" s="253"/>
      <c r="N22" s="193">
        <f>E22-травень!E22</f>
        <v>4000</v>
      </c>
      <c r="O22" s="177">
        <f>F22-травень!F22</f>
        <v>787.2800000000007</v>
      </c>
      <c r="P22" s="164">
        <f t="shared" si="6"/>
        <v>-3212.7199999999993</v>
      </c>
      <c r="Q22" s="251"/>
      <c r="R22" s="106">
        <v>4000</v>
      </c>
      <c r="S22" s="99">
        <f t="shared" si="8"/>
        <v>-3212.7199999999993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199624.59999999998</v>
      </c>
      <c r="F23" s="221">
        <f>F24+F32+F33+F34+F35</f>
        <v>180368.61</v>
      </c>
      <c r="G23" s="148">
        <f t="shared" si="0"/>
        <v>-19255.98999999999</v>
      </c>
      <c r="H23" s="155">
        <f t="shared" si="3"/>
        <v>90.35389926892779</v>
      </c>
      <c r="I23" s="156">
        <f t="shared" si="4"/>
        <v>-220761.49</v>
      </c>
      <c r="J23" s="156">
        <f t="shared" si="5"/>
        <v>44.96511480938479</v>
      </c>
      <c r="K23" s="156">
        <v>140248.27</v>
      </c>
      <c r="L23" s="159">
        <f t="shared" si="1"/>
        <v>40120.34</v>
      </c>
      <c r="M23" s="207">
        <f t="shared" si="2"/>
        <v>1.28606655896718</v>
      </c>
      <c r="N23" s="155">
        <f>E23-травень!E23</f>
        <v>22572</v>
      </c>
      <c r="O23" s="158">
        <f>F23-травень!F23</f>
        <v>2062.829999999987</v>
      </c>
      <c r="P23" s="159">
        <f t="shared" si="6"/>
        <v>-20509.170000000013</v>
      </c>
      <c r="Q23" s="156">
        <f t="shared" si="7"/>
        <v>9.138888888888832</v>
      </c>
      <c r="R23" s="280">
        <f>R24+R32+R33+R34+R35</f>
        <v>37059</v>
      </c>
      <c r="S23" s="99">
        <f t="shared" si="8"/>
        <v>-34996.17000000001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98672.9</v>
      </c>
      <c r="F24" s="221">
        <f>F25+F28+F29</f>
        <v>82408.05</v>
      </c>
      <c r="G24" s="148">
        <f t="shared" si="0"/>
        <v>-16264.849999999991</v>
      </c>
      <c r="H24" s="155">
        <f t="shared" si="3"/>
        <v>83.51639609254417</v>
      </c>
      <c r="I24" s="156">
        <f t="shared" si="4"/>
        <v>-124212.95</v>
      </c>
      <c r="J24" s="156">
        <f t="shared" si="5"/>
        <v>39.88367590903151</v>
      </c>
      <c r="K24" s="156">
        <v>71540.14</v>
      </c>
      <c r="L24" s="159">
        <f t="shared" si="1"/>
        <v>10867.910000000003</v>
      </c>
      <c r="M24" s="207">
        <f t="shared" si="2"/>
        <v>1.151913457256304</v>
      </c>
      <c r="N24" s="155">
        <f>E24-травень!E24</f>
        <v>15965</v>
      </c>
      <c r="O24" s="158">
        <f>F24-травень!F24</f>
        <v>675.9199999999983</v>
      </c>
      <c r="P24" s="159">
        <f t="shared" si="6"/>
        <v>-15289.080000000002</v>
      </c>
      <c r="Q24" s="156">
        <f t="shared" si="7"/>
        <v>4.233761352959588</v>
      </c>
      <c r="R24" s="106">
        <f>R25+R28+R29</f>
        <v>14352</v>
      </c>
      <c r="S24" s="99">
        <f t="shared" si="8"/>
        <v>-13676.080000000002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10389.1</v>
      </c>
      <c r="F25" s="170">
        <v>10183.73</v>
      </c>
      <c r="G25" s="169">
        <f t="shared" si="0"/>
        <v>-205.3700000000008</v>
      </c>
      <c r="H25" s="171">
        <f t="shared" si="3"/>
        <v>98.02321664051746</v>
      </c>
      <c r="I25" s="172">
        <f t="shared" si="4"/>
        <v>-12625.27</v>
      </c>
      <c r="J25" s="172">
        <f t="shared" si="5"/>
        <v>44.647858301547636</v>
      </c>
      <c r="K25" s="173">
        <v>8640.15</v>
      </c>
      <c r="L25" s="164">
        <f t="shared" si="1"/>
        <v>1543.58</v>
      </c>
      <c r="M25" s="213">
        <f t="shared" si="2"/>
        <v>1.1786519909955266</v>
      </c>
      <c r="N25" s="193">
        <f>E25-травень!E25</f>
        <v>805</v>
      </c>
      <c r="O25" s="177">
        <f>F25-травень!F25</f>
        <v>47.68999999999869</v>
      </c>
      <c r="P25" s="175">
        <f t="shared" si="6"/>
        <v>-757.3100000000013</v>
      </c>
      <c r="Q25" s="172">
        <f t="shared" si="7"/>
        <v>5.92422360248431</v>
      </c>
      <c r="R25" s="106">
        <v>347</v>
      </c>
      <c r="S25" s="99">
        <f t="shared" si="8"/>
        <v>-299.3100000000013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710</v>
      </c>
      <c r="F26" s="161">
        <v>197.92</v>
      </c>
      <c r="G26" s="196">
        <f t="shared" si="0"/>
        <v>-512.08</v>
      </c>
      <c r="H26" s="197">
        <f t="shared" si="3"/>
        <v>27.876056338028164</v>
      </c>
      <c r="I26" s="198">
        <f t="shared" si="4"/>
        <v>-1624.3799999999999</v>
      </c>
      <c r="J26" s="198">
        <f t="shared" si="5"/>
        <v>10.86099983537288</v>
      </c>
      <c r="K26" s="198">
        <v>263.65</v>
      </c>
      <c r="L26" s="198">
        <f t="shared" si="1"/>
        <v>-65.72999999999999</v>
      </c>
      <c r="M26" s="226">
        <f t="shared" si="2"/>
        <v>0.7506922055755737</v>
      </c>
      <c r="N26" s="234">
        <f>E26-травень!E26</f>
        <v>105</v>
      </c>
      <c r="O26" s="234">
        <f>F26-травень!F26</f>
        <v>0.6499999999999773</v>
      </c>
      <c r="P26" s="198">
        <f t="shared" si="6"/>
        <v>-104.35000000000002</v>
      </c>
      <c r="Q26" s="198">
        <f t="shared" si="7"/>
        <v>0.6190476190475974</v>
      </c>
      <c r="R26" s="106"/>
      <c r="S26" s="99">
        <f t="shared" si="8"/>
        <v>0.6499999999999773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9679.1</v>
      </c>
      <c r="F27" s="161">
        <v>9985.81</v>
      </c>
      <c r="G27" s="196">
        <f t="shared" si="0"/>
        <v>306.7099999999991</v>
      </c>
      <c r="H27" s="197">
        <f t="shared" si="3"/>
        <v>103.16878635410316</v>
      </c>
      <c r="I27" s="198">
        <f t="shared" si="4"/>
        <v>-11000.890000000001</v>
      </c>
      <c r="J27" s="198">
        <f t="shared" si="5"/>
        <v>47.58161121090976</v>
      </c>
      <c r="K27" s="198">
        <v>8376.5</v>
      </c>
      <c r="L27" s="198">
        <f t="shared" si="1"/>
        <v>1609.3099999999995</v>
      </c>
      <c r="M27" s="226">
        <f t="shared" si="2"/>
        <v>1.1921220079985673</v>
      </c>
      <c r="N27" s="234">
        <f>E27-травень!E27</f>
        <v>700</v>
      </c>
      <c r="O27" s="234">
        <f>F27-травень!F27</f>
        <v>47.039999999999054</v>
      </c>
      <c r="P27" s="198">
        <f t="shared" si="6"/>
        <v>-652.960000000001</v>
      </c>
      <c r="Q27" s="198">
        <f t="shared" si="7"/>
        <v>6.719999999999865</v>
      </c>
      <c r="R27" s="106"/>
      <c r="S27" s="99">
        <f t="shared" si="8"/>
        <v>47.039999999999054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133.8</v>
      </c>
      <c r="F28" s="170">
        <v>-70.48</v>
      </c>
      <c r="G28" s="169">
        <f t="shared" si="0"/>
        <v>-204.28000000000003</v>
      </c>
      <c r="H28" s="171">
        <f t="shared" si="3"/>
        <v>-52.67563527653214</v>
      </c>
      <c r="I28" s="172">
        <f t="shared" si="4"/>
        <v>-890.48</v>
      </c>
      <c r="J28" s="172">
        <f t="shared" si="5"/>
        <v>-8.595121951219513</v>
      </c>
      <c r="K28" s="172">
        <v>420.08</v>
      </c>
      <c r="L28" s="172">
        <f t="shared" si="1"/>
        <v>-490.56</v>
      </c>
      <c r="M28" s="210">
        <f t="shared" si="2"/>
        <v>-0.1677775661778709</v>
      </c>
      <c r="N28" s="193">
        <f>E28-травень!E28</f>
        <v>5</v>
      </c>
      <c r="O28" s="177">
        <f>F28-травень!F28</f>
        <v>-25.000000000000007</v>
      </c>
      <c r="P28" s="175">
        <f t="shared" si="6"/>
        <v>-30.000000000000007</v>
      </c>
      <c r="Q28" s="172">
        <f>O28/N28*100</f>
        <v>-500.00000000000017</v>
      </c>
      <c r="R28" s="106">
        <v>5</v>
      </c>
      <c r="S28" s="99">
        <f t="shared" si="8"/>
        <v>-30.000000000000007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88150</v>
      </c>
      <c r="F29" s="170">
        <v>72294.8</v>
      </c>
      <c r="G29" s="169">
        <f t="shared" si="0"/>
        <v>-15855.199999999997</v>
      </c>
      <c r="H29" s="171">
        <f t="shared" si="3"/>
        <v>82.01338627339763</v>
      </c>
      <c r="I29" s="172">
        <f t="shared" si="4"/>
        <v>-110697.2</v>
      </c>
      <c r="J29" s="172">
        <f t="shared" si="5"/>
        <v>39.507082276820846</v>
      </c>
      <c r="K29" s="173">
        <v>62479.91</v>
      </c>
      <c r="L29" s="173">
        <f t="shared" si="1"/>
        <v>9814.89</v>
      </c>
      <c r="M29" s="209">
        <f t="shared" si="2"/>
        <v>1.1570887346028507</v>
      </c>
      <c r="N29" s="193">
        <f>E29-травень!E29</f>
        <v>15155</v>
      </c>
      <c r="O29" s="177">
        <f>F29-травень!F29</f>
        <v>653.2299999999959</v>
      </c>
      <c r="P29" s="175">
        <f t="shared" si="6"/>
        <v>-14501.770000000004</v>
      </c>
      <c r="Q29" s="172">
        <f>O29/N29*100</f>
        <v>4.310326624876252</v>
      </c>
      <c r="R29" s="106">
        <v>14000</v>
      </c>
      <c r="S29" s="99">
        <f t="shared" si="8"/>
        <v>-13346.770000000004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26780</v>
      </c>
      <c r="F30" s="161">
        <v>24352.98</v>
      </c>
      <c r="G30" s="196">
        <f t="shared" si="0"/>
        <v>-2427.0200000000004</v>
      </c>
      <c r="H30" s="197">
        <f t="shared" si="3"/>
        <v>90.93719193427931</v>
      </c>
      <c r="I30" s="198">
        <f t="shared" si="4"/>
        <v>-33180.020000000004</v>
      </c>
      <c r="J30" s="198">
        <f t="shared" si="5"/>
        <v>42.32871569360193</v>
      </c>
      <c r="K30" s="198">
        <v>19348.56</v>
      </c>
      <c r="L30" s="198">
        <f t="shared" si="1"/>
        <v>5004.419999999998</v>
      </c>
      <c r="M30" s="226">
        <f t="shared" si="2"/>
        <v>1.2586456046341432</v>
      </c>
      <c r="N30" s="234">
        <f>E30-травень!E30</f>
        <v>4700</v>
      </c>
      <c r="O30" s="234">
        <f>F30-травень!F30</f>
        <v>201.73999999999796</v>
      </c>
      <c r="P30" s="198">
        <f t="shared" si="6"/>
        <v>-4498.260000000002</v>
      </c>
      <c r="Q30" s="198">
        <f>O30/N30*100</f>
        <v>4.292340425531871</v>
      </c>
      <c r="R30" s="106"/>
      <c r="S30" s="99">
        <f t="shared" si="8"/>
        <v>201.73999999999796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61370</v>
      </c>
      <c r="F31" s="161">
        <v>47941.82</v>
      </c>
      <c r="G31" s="196">
        <f t="shared" si="0"/>
        <v>-13428.18</v>
      </c>
      <c r="H31" s="197">
        <f t="shared" si="3"/>
        <v>78.11930910868502</v>
      </c>
      <c r="I31" s="198">
        <f t="shared" si="4"/>
        <v>-77517.18</v>
      </c>
      <c r="J31" s="198">
        <f t="shared" si="5"/>
        <v>38.21313735961549</v>
      </c>
      <c r="K31" s="198">
        <v>43131.35</v>
      </c>
      <c r="L31" s="198">
        <f t="shared" si="1"/>
        <v>4810.470000000001</v>
      </c>
      <c r="M31" s="226">
        <f t="shared" si="2"/>
        <v>1.1115307079421348</v>
      </c>
      <c r="N31" s="234">
        <f>E31-травень!E31</f>
        <v>10455</v>
      </c>
      <c r="O31" s="234">
        <f>F31-травень!F31</f>
        <v>451.48999999999796</v>
      </c>
      <c r="P31" s="198">
        <f t="shared" si="6"/>
        <v>-10003.510000000002</v>
      </c>
      <c r="Q31" s="198">
        <f>O31/N31*100</f>
        <v>4.318412242945939</v>
      </c>
      <c r="R31" s="106"/>
      <c r="S31" s="99">
        <f t="shared" si="8"/>
        <v>451.48999999999796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E32-травень!E32</f>
        <v>0</v>
      </c>
      <c r="O32" s="158">
        <f>F32-травень!F32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46</v>
      </c>
      <c r="F33" s="154">
        <v>75.23</v>
      </c>
      <c r="G33" s="148">
        <f t="shared" si="0"/>
        <v>29.230000000000004</v>
      </c>
      <c r="H33" s="155">
        <f t="shared" si="3"/>
        <v>163.54347826086956</v>
      </c>
      <c r="I33" s="156">
        <f t="shared" si="4"/>
        <v>-39.769999999999996</v>
      </c>
      <c r="J33" s="156">
        <f t="shared" si="5"/>
        <v>65.41739130434783</v>
      </c>
      <c r="K33" s="156">
        <v>51.14</v>
      </c>
      <c r="L33" s="156">
        <f t="shared" si="1"/>
        <v>24.090000000000003</v>
      </c>
      <c r="M33" s="208">
        <f>F33/K33</f>
        <v>1.4710598357450138</v>
      </c>
      <c r="N33" s="155">
        <f>E33-травень!E33</f>
        <v>7</v>
      </c>
      <c r="O33" s="158">
        <f>F33-травень!F33</f>
        <v>0</v>
      </c>
      <c r="P33" s="159">
        <f t="shared" si="6"/>
        <v>-7</v>
      </c>
      <c r="Q33" s="156">
        <f>O33/N33*100</f>
        <v>0</v>
      </c>
      <c r="R33" s="106">
        <v>7</v>
      </c>
      <c r="S33" s="99">
        <f t="shared" si="8"/>
        <v>-7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-27.18</v>
      </c>
      <c r="G34" s="148">
        <f t="shared" si="0"/>
        <v>-27.18</v>
      </c>
      <c r="H34" s="155"/>
      <c r="I34" s="156">
        <f t="shared" si="4"/>
        <v>-27.18</v>
      </c>
      <c r="J34" s="156"/>
      <c r="K34" s="156">
        <v>-109.72</v>
      </c>
      <c r="L34" s="156">
        <f t="shared" si="1"/>
        <v>82.53999999999999</v>
      </c>
      <c r="M34" s="208">
        <f>F34/K34</f>
        <v>0.24772147283995624</v>
      </c>
      <c r="N34" s="155">
        <f>E34-травень!E34</f>
        <v>0</v>
      </c>
      <c r="O34" s="158">
        <f>F34-травень!F34</f>
        <v>-0.41000000000000014</v>
      </c>
      <c r="P34" s="159">
        <f t="shared" si="6"/>
        <v>-0.41000000000000014</v>
      </c>
      <c r="Q34" s="156"/>
      <c r="R34" s="106"/>
      <c r="S34" s="99">
        <f t="shared" si="8"/>
        <v>-0.41000000000000014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100905.7</v>
      </c>
      <c r="F35" s="161">
        <v>97912.31</v>
      </c>
      <c r="G35" s="160">
        <f t="shared" si="0"/>
        <v>-2993.3899999999994</v>
      </c>
      <c r="H35" s="162">
        <f t="shared" si="3"/>
        <v>97.0334777916411</v>
      </c>
      <c r="I35" s="163">
        <f t="shared" si="4"/>
        <v>-96481.79000000001</v>
      </c>
      <c r="J35" s="163">
        <f t="shared" si="5"/>
        <v>50.367943265767835</v>
      </c>
      <c r="K35" s="176">
        <v>68766.7</v>
      </c>
      <c r="L35" s="176">
        <f>F35-K35</f>
        <v>29145.61</v>
      </c>
      <c r="M35" s="224">
        <f>F35/K35</f>
        <v>1.4238331925190535</v>
      </c>
      <c r="N35" s="155">
        <f>E35-травень!E35</f>
        <v>6600</v>
      </c>
      <c r="O35" s="158">
        <f>F35-травень!F35</f>
        <v>1387.3199999999924</v>
      </c>
      <c r="P35" s="165">
        <f t="shared" si="6"/>
        <v>-5212.680000000008</v>
      </c>
      <c r="Q35" s="163">
        <f>O35/N35*100</f>
        <v>21.019999999999886</v>
      </c>
      <c r="R35" s="106">
        <v>22700</v>
      </c>
      <c r="S35" s="99">
        <f t="shared" si="8"/>
        <v>-21312.680000000008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0.18</v>
      </c>
      <c r="L36" s="126">
        <f t="shared" si="1"/>
        <v>-0.16999999999999998</v>
      </c>
      <c r="M36" s="214">
        <f aca="true" t="shared" si="9" ref="M36:M42">F36/K36</f>
        <v>0.05555555555555556</v>
      </c>
      <c r="N36" s="104">
        <f>E36-травень!E36</f>
        <v>0</v>
      </c>
      <c r="O36" s="142">
        <f>F36-травень!F36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20020</v>
      </c>
      <c r="F37" s="138">
        <v>19494.03</v>
      </c>
      <c r="G37" s="102">
        <f t="shared" si="0"/>
        <v>-525.9700000000012</v>
      </c>
      <c r="H37" s="104">
        <f t="shared" si="3"/>
        <v>97.37277722277722</v>
      </c>
      <c r="I37" s="103">
        <f t="shared" si="4"/>
        <v>-21505.97</v>
      </c>
      <c r="J37" s="103">
        <f t="shared" si="5"/>
        <v>47.54641463414634</v>
      </c>
      <c r="K37" s="126">
        <v>17552.06</v>
      </c>
      <c r="L37" s="126">
        <f t="shared" si="1"/>
        <v>1941.9699999999975</v>
      </c>
      <c r="M37" s="214">
        <f t="shared" si="9"/>
        <v>1.110640574382722</v>
      </c>
      <c r="N37" s="104">
        <f>E37-травень!E37</f>
        <v>1100</v>
      </c>
      <c r="O37" s="142">
        <f>F37-травень!F37</f>
        <v>232.34000000000015</v>
      </c>
      <c r="P37" s="105">
        <f t="shared" si="6"/>
        <v>-867.6599999999999</v>
      </c>
      <c r="Q37" s="103">
        <f>O37/N37*100</f>
        <v>21.121818181818195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80860</v>
      </c>
      <c r="F38" s="138">
        <v>78395.17</v>
      </c>
      <c r="G38" s="102">
        <f t="shared" si="0"/>
        <v>-2464.8300000000017</v>
      </c>
      <c r="H38" s="104">
        <f t="shared" si="3"/>
        <v>96.95173138758348</v>
      </c>
      <c r="I38" s="103">
        <f t="shared" si="4"/>
        <v>-74943.93000000001</v>
      </c>
      <c r="J38" s="103">
        <f t="shared" si="5"/>
        <v>51.12536202442821</v>
      </c>
      <c r="K38" s="126">
        <v>51200.46</v>
      </c>
      <c r="L38" s="126">
        <f t="shared" si="1"/>
        <v>27194.71</v>
      </c>
      <c r="M38" s="214">
        <f t="shared" si="9"/>
        <v>1.5311419077094228</v>
      </c>
      <c r="N38" s="104">
        <f>E38-травень!E38</f>
        <v>5500</v>
      </c>
      <c r="O38" s="142">
        <f>F38-травень!F38</f>
        <v>1154.979999999996</v>
      </c>
      <c r="P38" s="105">
        <f t="shared" si="6"/>
        <v>-4345.020000000004</v>
      </c>
      <c r="Q38" s="103">
        <f>O38/N38*100</f>
        <v>20.99963636363629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E39-травень!E39</f>
        <v>0</v>
      </c>
      <c r="O39" s="142">
        <f>F39-травень!F39</f>
        <v>0</v>
      </c>
      <c r="P39" s="105">
        <f t="shared" si="6"/>
        <v>0</v>
      </c>
      <c r="Q39" s="103"/>
      <c r="R39" s="106"/>
      <c r="S39" s="106"/>
      <c r="T39" s="106"/>
      <c r="U39" s="107"/>
    </row>
    <row r="40" spans="1:21" s="6" customFormat="1" ht="15" customHeight="1">
      <c r="A40" s="8"/>
      <c r="B40" s="229" t="s">
        <v>193</v>
      </c>
      <c r="C40" s="42">
        <v>220102</v>
      </c>
      <c r="D40" s="33">
        <v>0</v>
      </c>
      <c r="E40" s="33">
        <v>0</v>
      </c>
      <c r="F40" s="287">
        <v>0.35</v>
      </c>
      <c r="G40" s="33">
        <f t="shared" si="0"/>
        <v>0.35</v>
      </c>
      <c r="H40" s="29"/>
      <c r="I40" s="36">
        <f t="shared" si="4"/>
        <v>0.35</v>
      </c>
      <c r="J40" s="36"/>
      <c r="K40" s="118">
        <v>0</v>
      </c>
      <c r="L40" s="118">
        <f t="shared" si="1"/>
        <v>0.35</v>
      </c>
      <c r="M40" s="215" t="e">
        <f t="shared" si="9"/>
        <v>#DIV/0!</v>
      </c>
      <c r="N40" s="155">
        <f>E40-травень!E40</f>
        <v>0</v>
      </c>
      <c r="O40" s="158">
        <f>F40-травень!F40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29916.1</v>
      </c>
      <c r="F41" s="284">
        <f>F42+F43+F44+F45+F46+F48+F50+F51+F52+F53+F54+F59+F60+F64+F47+F40</f>
        <v>31294.949999999993</v>
      </c>
      <c r="G41" s="149">
        <f>G42+G43+G44+G45+G46+G48+G50+G51+G52+G53+G54+G59+G60+G64</f>
        <v>1425.0899999999995</v>
      </c>
      <c r="H41" s="150">
        <f>F41/E41*100</f>
        <v>104.60905666179747</v>
      </c>
      <c r="I41" s="151">
        <f>F41-D41</f>
        <v>-27730.050000000007</v>
      </c>
      <c r="J41" s="151">
        <f>F41/D41*100</f>
        <v>53.019822109275715</v>
      </c>
      <c r="K41" s="149">
        <v>22840.42</v>
      </c>
      <c r="L41" s="149">
        <f t="shared" si="1"/>
        <v>8454.529999999995</v>
      </c>
      <c r="M41" s="203">
        <f t="shared" si="9"/>
        <v>1.3701565032516914</v>
      </c>
      <c r="N41" s="149">
        <f>N42+N43+N44+N45+N46+N48+N50+N51+N52+N53+N54+N59+N60+N64+N47</f>
        <v>5118.8</v>
      </c>
      <c r="O41" s="149">
        <f>O42+O43+O44+O45+O46+O48+O50+O51+O52+O53+O54+O59+O60+O64+O47+O40</f>
        <v>3939.839999999999</v>
      </c>
      <c r="P41" s="149">
        <f>P42+P43+P44+P45+P46+P48+P50+P51+P52+P53+P54+P59+P60+P64</f>
        <v>-1172.1600000000008</v>
      </c>
      <c r="Q41" s="149">
        <f>O41/N41*100</f>
        <v>76.96803938423066</v>
      </c>
      <c r="R41" s="15">
        <f>R42+R43+R44+R45+R46+R47+R48+R50+R51+R52+R53+R54+R59+R60+R64</f>
        <v>5273.700000000001</v>
      </c>
      <c r="S41" s="15">
        <f>O41-R41</f>
        <v>-1333.860000000002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E42-травень!E42</f>
        <v>0</v>
      </c>
      <c r="O42" s="166">
        <f>F42-травень!F42</f>
        <v>0</v>
      </c>
      <c r="P42" s="165">
        <f>O42-N42</f>
        <v>0</v>
      </c>
      <c r="Q42" s="163" t="e">
        <f aca="true" t="shared" si="11" ref="Q42:Q65">O42/N42*100</f>
        <v>#DIV/0!</v>
      </c>
      <c r="R42" s="36">
        <v>420</v>
      </c>
      <c r="S42" s="36">
        <f>O42-R42</f>
        <v>-420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13700</v>
      </c>
      <c r="F43" s="154">
        <v>13353.64</v>
      </c>
      <c r="G43" s="160">
        <f aca="true" t="shared" si="12" ref="G43:G66">F43-E43</f>
        <v>-346.3600000000006</v>
      </c>
      <c r="H43" s="162">
        <f t="shared" si="10"/>
        <v>97.47182481751825</v>
      </c>
      <c r="I43" s="163">
        <f aca="true" t="shared" si="13" ref="I43:I66">F43-D43</f>
        <v>-16646.36</v>
      </c>
      <c r="J43" s="163">
        <f>F43/D43*100</f>
        <v>44.51213333333333</v>
      </c>
      <c r="K43" s="163">
        <v>10098.73</v>
      </c>
      <c r="L43" s="163">
        <f t="shared" si="1"/>
        <v>3254.91</v>
      </c>
      <c r="M43" s="216"/>
      <c r="N43" s="162">
        <f>E43-травень!E43</f>
        <v>2800</v>
      </c>
      <c r="O43" s="166">
        <f>F43-травень!F43</f>
        <v>2874.4799999999996</v>
      </c>
      <c r="P43" s="165">
        <f aca="true" t="shared" si="14" ref="P43:P66">O43-N43</f>
        <v>74.47999999999956</v>
      </c>
      <c r="Q43" s="163">
        <f t="shared" si="11"/>
        <v>102.65999999999997</v>
      </c>
      <c r="R43" s="36">
        <v>2672.3</v>
      </c>
      <c r="S43" s="36">
        <f aca="true" t="shared" si="15" ref="S43:S66">O43-R43</f>
        <v>202.17999999999938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22</v>
      </c>
      <c r="F44" s="154">
        <v>92.8</v>
      </c>
      <c r="G44" s="160">
        <f t="shared" si="12"/>
        <v>70.8</v>
      </c>
      <c r="H44" s="162">
        <f>F44/E44*100</f>
        <v>421.81818181818176</v>
      </c>
      <c r="I44" s="163">
        <f t="shared" si="13"/>
        <v>52.8</v>
      </c>
      <c r="J44" s="163">
        <f aca="true" t="shared" si="16" ref="J44:J65">F44/D44*100</f>
        <v>231.99999999999997</v>
      </c>
      <c r="K44" s="163">
        <v>27.51</v>
      </c>
      <c r="L44" s="163">
        <f t="shared" si="1"/>
        <v>65.28999999999999</v>
      </c>
      <c r="M44" s="216">
        <f aca="true" t="shared" si="17" ref="M44:M66">F44/K44</f>
        <v>3.373318793166121</v>
      </c>
      <c r="N44" s="162">
        <f>E44-травень!E44</f>
        <v>1</v>
      </c>
      <c r="O44" s="166">
        <f>F44-травень!F44</f>
        <v>0</v>
      </c>
      <c r="P44" s="165">
        <f t="shared" si="14"/>
        <v>-1</v>
      </c>
      <c r="Q44" s="163">
        <f t="shared" si="11"/>
        <v>0</v>
      </c>
      <c r="R44" s="36">
        <v>1</v>
      </c>
      <c r="S44" s="36">
        <f t="shared" si="15"/>
        <v>-1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E45-травень!E45</f>
        <v>0</v>
      </c>
      <c r="O45" s="166">
        <f>F45-травень!F45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128</v>
      </c>
      <c r="F46" s="154">
        <v>451.17</v>
      </c>
      <c r="G46" s="160">
        <f t="shared" si="12"/>
        <v>323.17</v>
      </c>
      <c r="H46" s="162">
        <f t="shared" si="10"/>
        <v>352.4765625</v>
      </c>
      <c r="I46" s="163">
        <f t="shared" si="13"/>
        <v>191.17000000000002</v>
      </c>
      <c r="J46" s="163">
        <f t="shared" si="16"/>
        <v>173.52692307692308</v>
      </c>
      <c r="K46" s="163">
        <v>50.4</v>
      </c>
      <c r="L46" s="163">
        <f t="shared" si="1"/>
        <v>400.77000000000004</v>
      </c>
      <c r="M46" s="216">
        <f t="shared" si="17"/>
        <v>8.951785714285714</v>
      </c>
      <c r="N46" s="162">
        <f>E46-травень!E46</f>
        <v>22</v>
      </c>
      <c r="O46" s="166">
        <f>F46-травень!F46</f>
        <v>8.910000000000025</v>
      </c>
      <c r="P46" s="165">
        <f t="shared" si="14"/>
        <v>-13.089999999999975</v>
      </c>
      <c r="Q46" s="163">
        <f t="shared" si="11"/>
        <v>40.500000000000114</v>
      </c>
      <c r="R46" s="36">
        <v>22</v>
      </c>
      <c r="S46" s="36">
        <f t="shared" si="15"/>
        <v>-13.089999999999975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47.6</v>
      </c>
      <c r="F47" s="154">
        <v>1.01</v>
      </c>
      <c r="G47" s="160">
        <f t="shared" si="12"/>
        <v>-46.59</v>
      </c>
      <c r="H47" s="162">
        <f t="shared" si="10"/>
        <v>2.1218487394957983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E47-травень!E47</f>
        <v>6.800000000000004</v>
      </c>
      <c r="O47" s="166">
        <f>F47-травень!F47</f>
        <v>0</v>
      </c>
      <c r="P47" s="165">
        <f t="shared" si="14"/>
        <v>-6.800000000000004</v>
      </c>
      <c r="Q47" s="163">
        <f t="shared" si="11"/>
        <v>0</v>
      </c>
      <c r="R47" s="36">
        <v>6.8</v>
      </c>
      <c r="S47" s="36">
        <f t="shared" si="15"/>
        <v>-6.8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460</v>
      </c>
      <c r="F48" s="154">
        <v>529.41</v>
      </c>
      <c r="G48" s="160">
        <f t="shared" si="12"/>
        <v>69.40999999999997</v>
      </c>
      <c r="H48" s="162">
        <f t="shared" si="10"/>
        <v>115.08913043478259</v>
      </c>
      <c r="I48" s="163">
        <f t="shared" si="13"/>
        <v>-200.59000000000003</v>
      </c>
      <c r="J48" s="163">
        <f t="shared" si="16"/>
        <v>72.52191780821917</v>
      </c>
      <c r="K48" s="163">
        <v>76.33</v>
      </c>
      <c r="L48" s="163">
        <f t="shared" si="1"/>
        <v>453.08</v>
      </c>
      <c r="M48" s="216"/>
      <c r="N48" s="162">
        <f>E48-травень!E48</f>
        <v>60</v>
      </c>
      <c r="O48" s="166">
        <f>F48-травень!F48</f>
        <v>24.279999999999973</v>
      </c>
      <c r="P48" s="165">
        <f t="shared" si="14"/>
        <v>-35.72000000000003</v>
      </c>
      <c r="Q48" s="163">
        <f t="shared" si="11"/>
        <v>40.466666666666626</v>
      </c>
      <c r="R48" s="36">
        <v>60</v>
      </c>
      <c r="S48" s="36">
        <f t="shared" si="15"/>
        <v>-35.72000000000003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E49-травень!E49</f>
        <v>0</v>
      </c>
      <c r="O49" s="166">
        <f>F49-травень!F49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6040</v>
      </c>
      <c r="F50" s="154">
        <v>6610.35</v>
      </c>
      <c r="G50" s="160">
        <f t="shared" si="12"/>
        <v>570.3500000000004</v>
      </c>
      <c r="H50" s="162">
        <f t="shared" si="10"/>
        <v>109.44288079470199</v>
      </c>
      <c r="I50" s="163">
        <f t="shared" si="13"/>
        <v>-4389.65</v>
      </c>
      <c r="J50" s="163">
        <f t="shared" si="16"/>
        <v>60.094090909090916</v>
      </c>
      <c r="K50" s="163">
        <v>4057.41</v>
      </c>
      <c r="L50" s="163">
        <f t="shared" si="1"/>
        <v>2552.9400000000005</v>
      </c>
      <c r="M50" s="216">
        <f t="shared" si="17"/>
        <v>1.6292043446435043</v>
      </c>
      <c r="N50" s="162">
        <f>E50-травень!E50</f>
        <v>900</v>
      </c>
      <c r="O50" s="166">
        <f>F50-травень!F50</f>
        <v>360.0799999999999</v>
      </c>
      <c r="P50" s="165">
        <f t="shared" si="14"/>
        <v>-539.9200000000001</v>
      </c>
      <c r="Q50" s="163">
        <f t="shared" si="11"/>
        <v>40.00888888888888</v>
      </c>
      <c r="R50" s="36">
        <v>1000</v>
      </c>
      <c r="S50" s="36">
        <f t="shared" si="15"/>
        <v>-639.9200000000001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150</v>
      </c>
      <c r="F51" s="154">
        <v>226.69</v>
      </c>
      <c r="G51" s="160">
        <f t="shared" si="12"/>
        <v>76.69</v>
      </c>
      <c r="H51" s="162">
        <f t="shared" si="10"/>
        <v>151.12666666666667</v>
      </c>
      <c r="I51" s="163">
        <f t="shared" si="13"/>
        <v>-83.31</v>
      </c>
      <c r="J51" s="163">
        <f t="shared" si="16"/>
        <v>73.1258064516129</v>
      </c>
      <c r="K51" s="163">
        <v>33.93</v>
      </c>
      <c r="L51" s="163">
        <f t="shared" si="1"/>
        <v>192.76</v>
      </c>
      <c r="M51" s="216"/>
      <c r="N51" s="162">
        <f>E51-травень!E51</f>
        <v>25</v>
      </c>
      <c r="O51" s="166">
        <f>F51-травень!F51</f>
        <v>10.340000000000003</v>
      </c>
      <c r="P51" s="165">
        <f t="shared" si="14"/>
        <v>-14.659999999999997</v>
      </c>
      <c r="Q51" s="163">
        <f t="shared" si="11"/>
        <v>41.360000000000014</v>
      </c>
      <c r="R51" s="36">
        <v>25</v>
      </c>
      <c r="S51" s="36">
        <f t="shared" si="15"/>
        <v>-14.659999999999997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11</v>
      </c>
      <c r="F52" s="154">
        <v>12.32</v>
      </c>
      <c r="G52" s="160">
        <f t="shared" si="12"/>
        <v>1.3200000000000003</v>
      </c>
      <c r="H52" s="162">
        <f t="shared" si="10"/>
        <v>112.00000000000001</v>
      </c>
      <c r="I52" s="163">
        <f t="shared" si="13"/>
        <v>-7.68</v>
      </c>
      <c r="J52" s="163">
        <f t="shared" si="16"/>
        <v>61.6</v>
      </c>
      <c r="K52" s="163">
        <v>7.72</v>
      </c>
      <c r="L52" s="163">
        <f t="shared" si="1"/>
        <v>4.6000000000000005</v>
      </c>
      <c r="M52" s="216"/>
      <c r="N52" s="162">
        <f>E52-травень!E52</f>
        <v>4</v>
      </c>
      <c r="O52" s="166">
        <f>F52-травень!F52</f>
        <v>0</v>
      </c>
      <c r="P52" s="165">
        <f t="shared" si="14"/>
        <v>-4</v>
      </c>
      <c r="Q52" s="163">
        <f t="shared" si="11"/>
        <v>0</v>
      </c>
      <c r="R52" s="36">
        <v>3</v>
      </c>
      <c r="S52" s="36">
        <f t="shared" si="15"/>
        <v>-3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3645</v>
      </c>
      <c r="F53" s="154">
        <v>3267.35</v>
      </c>
      <c r="G53" s="160">
        <f t="shared" si="12"/>
        <v>-377.6500000000001</v>
      </c>
      <c r="H53" s="162">
        <f t="shared" si="10"/>
        <v>89.63923182441701</v>
      </c>
      <c r="I53" s="163">
        <f t="shared" si="13"/>
        <v>-4007.65</v>
      </c>
      <c r="J53" s="163">
        <f t="shared" si="16"/>
        <v>44.912027491408935</v>
      </c>
      <c r="K53" s="163">
        <v>3304.24</v>
      </c>
      <c r="L53" s="163">
        <f t="shared" si="1"/>
        <v>-36.88999999999987</v>
      </c>
      <c r="M53" s="216">
        <f t="shared" si="17"/>
        <v>0.98883555673922</v>
      </c>
      <c r="N53" s="162">
        <f>E53-травень!E53</f>
        <v>605</v>
      </c>
      <c r="O53" s="166">
        <f>F53-травень!F53</f>
        <v>546.0299999999997</v>
      </c>
      <c r="P53" s="165">
        <f t="shared" si="14"/>
        <v>-58.970000000000255</v>
      </c>
      <c r="Q53" s="163">
        <f t="shared" si="11"/>
        <v>90.25289256198343</v>
      </c>
      <c r="R53" s="36">
        <v>533.6</v>
      </c>
      <c r="S53" s="36">
        <f t="shared" si="15"/>
        <v>12.429999999999723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570</v>
      </c>
      <c r="F54" s="154">
        <v>347.27</v>
      </c>
      <c r="G54" s="160">
        <f t="shared" si="12"/>
        <v>-222.73000000000002</v>
      </c>
      <c r="H54" s="162">
        <f t="shared" si="10"/>
        <v>60.92456140350877</v>
      </c>
      <c r="I54" s="163">
        <f t="shared" si="13"/>
        <v>-852.73</v>
      </c>
      <c r="J54" s="163">
        <f t="shared" si="16"/>
        <v>28.939166666666665</v>
      </c>
      <c r="K54" s="163">
        <v>2573.46</v>
      </c>
      <c r="L54" s="163">
        <f t="shared" si="1"/>
        <v>-2226.19</v>
      </c>
      <c r="M54" s="216">
        <f t="shared" si="17"/>
        <v>0.13494283960115952</v>
      </c>
      <c r="N54" s="162">
        <f>E54-травень!E54</f>
        <v>95</v>
      </c>
      <c r="O54" s="166">
        <f>F54-травень!F54</f>
        <v>13.75</v>
      </c>
      <c r="P54" s="165">
        <f t="shared" si="14"/>
        <v>-81.25</v>
      </c>
      <c r="Q54" s="163">
        <f t="shared" si="11"/>
        <v>14.473684210526317</v>
      </c>
      <c r="R54" s="36">
        <v>70</v>
      </c>
      <c r="S54" s="36">
        <f t="shared" si="15"/>
        <v>-56.25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480</v>
      </c>
      <c r="F55" s="138">
        <v>302.59</v>
      </c>
      <c r="G55" s="33">
        <f t="shared" si="12"/>
        <v>-177.41000000000003</v>
      </c>
      <c r="H55" s="29">
        <f t="shared" si="10"/>
        <v>63.039583333333326</v>
      </c>
      <c r="I55" s="103">
        <f t="shared" si="13"/>
        <v>-695.4100000000001</v>
      </c>
      <c r="J55" s="103">
        <f t="shared" si="16"/>
        <v>30.319639278557116</v>
      </c>
      <c r="K55" s="103">
        <v>367.55</v>
      </c>
      <c r="L55" s="103">
        <f>F55-K55</f>
        <v>-64.96000000000004</v>
      </c>
      <c r="M55" s="108">
        <f t="shared" si="17"/>
        <v>0.8232621412052781</v>
      </c>
      <c r="N55" s="104">
        <f>E55-травень!E55</f>
        <v>80</v>
      </c>
      <c r="O55" s="142">
        <f>F55-травень!F55</f>
        <v>12.20999999999998</v>
      </c>
      <c r="P55" s="105">
        <f t="shared" si="14"/>
        <v>-67.79000000000002</v>
      </c>
      <c r="Q55" s="118">
        <f t="shared" si="11"/>
        <v>15.262499999999973</v>
      </c>
      <c r="R55" s="36"/>
      <c r="S55" s="36">
        <f t="shared" si="15"/>
        <v>12.20999999999998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0.23</v>
      </c>
      <c r="L56" s="103">
        <f>F56-K56</f>
        <v>-0.08000000000000002</v>
      </c>
      <c r="M56" s="108">
        <f t="shared" si="17"/>
        <v>0.6521739130434782</v>
      </c>
      <c r="N56" s="104">
        <f>E56-травень!E56</f>
        <v>0</v>
      </c>
      <c r="O56" s="142">
        <f>F56-травень!F56</f>
        <v>0</v>
      </c>
      <c r="P56" s="105">
        <f t="shared" si="14"/>
        <v>0</v>
      </c>
      <c r="Q56" s="118" t="e">
        <f t="shared" si="11"/>
        <v>#DIV/0!</v>
      </c>
      <c r="R56" s="36"/>
      <c r="S56" s="36">
        <f t="shared" si="15"/>
        <v>0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E57-травень!E57</f>
        <v>0</v>
      </c>
      <c r="O57" s="142">
        <f>F57-травень!F57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90</v>
      </c>
      <c r="F58" s="138">
        <v>44.54</v>
      </c>
      <c r="G58" s="33">
        <f t="shared" si="12"/>
        <v>-45.46</v>
      </c>
      <c r="H58" s="29">
        <f t="shared" si="10"/>
        <v>49.48888888888889</v>
      </c>
      <c r="I58" s="103">
        <f t="shared" si="13"/>
        <v>-155.46</v>
      </c>
      <c r="J58" s="103">
        <f t="shared" si="16"/>
        <v>22.27</v>
      </c>
      <c r="K58" s="103">
        <v>2205.67</v>
      </c>
      <c r="L58" s="103">
        <f>F58-K58</f>
        <v>-2161.13</v>
      </c>
      <c r="M58" s="108">
        <f t="shared" si="17"/>
        <v>0.020193410618995586</v>
      </c>
      <c r="N58" s="104">
        <f>E58-травень!E58</f>
        <v>15</v>
      </c>
      <c r="O58" s="142">
        <f>F58-травень!F58</f>
        <v>1.5399999999999991</v>
      </c>
      <c r="P58" s="105">
        <f t="shared" si="14"/>
        <v>-13.46</v>
      </c>
      <c r="Q58" s="118">
        <f t="shared" si="11"/>
        <v>10.266666666666662</v>
      </c>
      <c r="R58" s="36"/>
      <c r="S58" s="36">
        <f t="shared" si="15"/>
        <v>1.5399999999999991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E59-травень!E59</f>
        <v>0</v>
      </c>
      <c r="O59" s="166">
        <f>F59-травень!F59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4860</v>
      </c>
      <c r="F60" s="154">
        <v>4139.11</v>
      </c>
      <c r="G60" s="160">
        <f t="shared" si="12"/>
        <v>-720.8900000000003</v>
      </c>
      <c r="H60" s="162">
        <f t="shared" si="10"/>
        <v>85.16687242798353</v>
      </c>
      <c r="I60" s="163">
        <f t="shared" si="13"/>
        <v>-3210.8900000000003</v>
      </c>
      <c r="J60" s="163">
        <f t="shared" si="16"/>
        <v>56.314421768707476</v>
      </c>
      <c r="K60" s="163">
        <v>2320.11</v>
      </c>
      <c r="L60" s="163">
        <f aca="true" t="shared" si="18" ref="L60:L66">F60-K60</f>
        <v>1818.9999999999995</v>
      </c>
      <c r="M60" s="216">
        <f t="shared" si="17"/>
        <v>1.784014551034218</v>
      </c>
      <c r="N60" s="162">
        <f>E60-травень!E60</f>
        <v>600</v>
      </c>
      <c r="O60" s="166">
        <f>F60-травень!F60</f>
        <v>101.9699999999998</v>
      </c>
      <c r="P60" s="165">
        <f t="shared" si="14"/>
        <v>-498.0300000000002</v>
      </c>
      <c r="Q60" s="163">
        <f t="shared" si="11"/>
        <v>16.994999999999965</v>
      </c>
      <c r="R60" s="36">
        <v>450</v>
      </c>
      <c r="S60" s="36">
        <f t="shared" si="15"/>
        <v>-348.0300000000002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E61-травень!E61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956.55</v>
      </c>
      <c r="G62" s="160"/>
      <c r="H62" s="162"/>
      <c r="I62" s="163"/>
      <c r="J62" s="163"/>
      <c r="K62" s="164">
        <v>478.67</v>
      </c>
      <c r="L62" s="163">
        <f t="shared" si="18"/>
        <v>477.87999999999994</v>
      </c>
      <c r="M62" s="216">
        <f t="shared" si="17"/>
        <v>1.998349593665782</v>
      </c>
      <c r="N62" s="193"/>
      <c r="O62" s="177">
        <f>F62-травень!F62</f>
        <v>72.95999999999992</v>
      </c>
      <c r="P62" s="164"/>
      <c r="Q62" s="163"/>
      <c r="R62" s="36"/>
      <c r="S62" s="36">
        <f t="shared" si="15"/>
        <v>72.95999999999992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E64-травень!E64</f>
        <v>0</v>
      </c>
      <c r="O64" s="166">
        <f>F64-травень!F64</f>
        <v>0</v>
      </c>
      <c r="P64" s="165">
        <f t="shared" si="14"/>
        <v>0</v>
      </c>
      <c r="Q64" s="163"/>
      <c r="R64" s="36">
        <v>10</v>
      </c>
      <c r="S64" s="36">
        <f t="shared" si="15"/>
        <v>-10</v>
      </c>
      <c r="T64" s="36"/>
      <c r="U64" s="93"/>
    </row>
    <row r="65" spans="1:21" s="6" customFormat="1" ht="30.75">
      <c r="A65" s="8"/>
      <c r="B65" s="12" t="s">
        <v>44</v>
      </c>
      <c r="C65" s="42">
        <v>31010200</v>
      </c>
      <c r="D65" s="148">
        <v>15</v>
      </c>
      <c r="E65" s="148">
        <v>7.6</v>
      </c>
      <c r="F65" s="154">
        <v>22.35</v>
      </c>
      <c r="G65" s="160">
        <f t="shared" si="12"/>
        <v>14.750000000000002</v>
      </c>
      <c r="H65" s="162">
        <f t="shared" si="10"/>
        <v>294.0789473684211</v>
      </c>
      <c r="I65" s="163">
        <f t="shared" si="13"/>
        <v>7.350000000000001</v>
      </c>
      <c r="J65" s="163">
        <f t="shared" si="16"/>
        <v>149</v>
      </c>
      <c r="K65" s="163">
        <v>13.52</v>
      </c>
      <c r="L65" s="163">
        <f t="shared" si="18"/>
        <v>8.830000000000002</v>
      </c>
      <c r="M65" s="216">
        <f t="shared" si="17"/>
        <v>1.6531065088757397</v>
      </c>
      <c r="N65" s="162">
        <f>E65-травень!E65</f>
        <v>1.1999999999999993</v>
      </c>
      <c r="O65" s="166">
        <f>F65-травень!F65</f>
        <v>0</v>
      </c>
      <c r="P65" s="165">
        <f t="shared" si="14"/>
        <v>-1.1999999999999993</v>
      </c>
      <c r="Q65" s="163">
        <f t="shared" si="11"/>
        <v>0</v>
      </c>
      <c r="R65" s="36">
        <v>1.3</v>
      </c>
      <c r="S65" s="36">
        <f t="shared" si="15"/>
        <v>-1.3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E66-травень!E66</f>
        <v>0</v>
      </c>
      <c r="O66" s="166">
        <f>F66-травень!F66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638799.2999999999</v>
      </c>
      <c r="F67" s="149">
        <f>F8+F41+F65+F66</f>
        <v>553147.95</v>
      </c>
      <c r="G67" s="149">
        <f>F67-E67</f>
        <v>-85651.34999999998</v>
      </c>
      <c r="H67" s="150">
        <f>F67/E67*100</f>
        <v>86.59182156273496</v>
      </c>
      <c r="I67" s="151">
        <f>F67-D67</f>
        <v>-804343.1500000001</v>
      </c>
      <c r="J67" s="151">
        <f>F67/D67*100</f>
        <v>40.74781411089914</v>
      </c>
      <c r="K67" s="151">
        <v>397849.29</v>
      </c>
      <c r="L67" s="151">
        <f>F67-K67</f>
        <v>155298.65999999997</v>
      </c>
      <c r="M67" s="217">
        <f>F67/K67</f>
        <v>1.3903454496550691</v>
      </c>
      <c r="N67" s="149">
        <f>N8+N41+N65+N66</f>
        <v>109292</v>
      </c>
      <c r="O67" s="149">
        <f>O8+O41+O65+O66</f>
        <v>20679.77999999995</v>
      </c>
      <c r="P67" s="153">
        <f>O67-N67</f>
        <v>-88612.22000000004</v>
      </c>
      <c r="Q67" s="151">
        <f>O67/N67*100</f>
        <v>18.92158620942059</v>
      </c>
      <c r="R67" s="26">
        <f>R8+R41+R65+R66</f>
        <v>109914</v>
      </c>
      <c r="S67" s="277">
        <f>O67-R67</f>
        <v>-89234.22000000004</v>
      </c>
      <c r="T67" s="277"/>
      <c r="U67" s="114">
        <f>O67/34768</f>
        <v>0.59479348826507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  <c r="T72" s="37"/>
      <c r="U72" s="96"/>
    </row>
    <row r="73" spans="2:21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-55.72</v>
      </c>
      <c r="L73" s="165">
        <f>F73-K73</f>
        <v>53.08</v>
      </c>
      <c r="M73" s="207">
        <f>F73/K73</f>
        <v>0.04737975592246949</v>
      </c>
      <c r="N73" s="160">
        <f>E73-травень!E73</f>
        <v>0</v>
      </c>
      <c r="O73" s="180">
        <f>F73-травень!F73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-0.27</v>
      </c>
      <c r="L74" s="185">
        <f>F74-K74</f>
        <v>-2.3600000000000003</v>
      </c>
      <c r="M74" s="212">
        <f>F74/K74</f>
        <v>9.74074074074074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E75-травень!E75</f>
        <v>0</v>
      </c>
      <c r="O75" s="286">
        <f>F75-травень!F75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9000</v>
      </c>
      <c r="F76" s="179">
        <v>0.14</v>
      </c>
      <c r="G76" s="160">
        <f t="shared" si="19"/>
        <v>-8999.86</v>
      </c>
      <c r="H76" s="162">
        <f>F76/E76*100</f>
        <v>0.001555555555555556</v>
      </c>
      <c r="I76" s="165">
        <f t="shared" si="20"/>
        <v>-104205.89</v>
      </c>
      <c r="J76" s="165">
        <f>F76/D76*100</f>
        <v>0.0001343492310377816</v>
      </c>
      <c r="K76" s="165">
        <v>1041.97</v>
      </c>
      <c r="L76" s="165">
        <f t="shared" si="21"/>
        <v>-1041.83</v>
      </c>
      <c r="M76" s="207">
        <f>F76/K76</f>
        <v>0.00013436087411345816</v>
      </c>
      <c r="N76" s="162">
        <f>E76-травень!E76</f>
        <v>4500</v>
      </c>
      <c r="O76" s="166">
        <f>F76-травень!F76</f>
        <v>0.010000000000000009</v>
      </c>
      <c r="P76" s="165">
        <f t="shared" si="22"/>
        <v>-4499.99</v>
      </c>
      <c r="Q76" s="165">
        <f>O76/N76*100</f>
        <v>0.00022222222222222242</v>
      </c>
      <c r="R76" s="37">
        <v>0</v>
      </c>
      <c r="S76" s="37">
        <f aca="true" t="shared" si="23" ref="S76:S87">O76-R76</f>
        <v>0.010000000000000009</v>
      </c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15630</v>
      </c>
      <c r="F77" s="179">
        <v>490.64</v>
      </c>
      <c r="G77" s="160">
        <f t="shared" si="19"/>
        <v>-15139.36</v>
      </c>
      <c r="H77" s="162">
        <f>F77/E77*100</f>
        <v>3.1390914907229686</v>
      </c>
      <c r="I77" s="165">
        <f t="shared" si="20"/>
        <v>-53509.36</v>
      </c>
      <c r="J77" s="165">
        <f>F77/D77*100</f>
        <v>0.9085925925925926</v>
      </c>
      <c r="K77" s="165">
        <v>869.23</v>
      </c>
      <c r="L77" s="165">
        <f t="shared" si="21"/>
        <v>-378.59000000000003</v>
      </c>
      <c r="M77" s="207">
        <f>F77/K77</f>
        <v>0.5644535968615901</v>
      </c>
      <c r="N77" s="162">
        <f>E77-травень!E77</f>
        <v>3600</v>
      </c>
      <c r="O77" s="166">
        <f>F77-травень!F77</f>
        <v>185.74</v>
      </c>
      <c r="P77" s="165">
        <f t="shared" si="22"/>
        <v>-3414.26</v>
      </c>
      <c r="Q77" s="165">
        <f>O77/N77*100</f>
        <v>5.159444444444445</v>
      </c>
      <c r="R77" s="37">
        <v>200</v>
      </c>
      <c r="S77" s="37">
        <f t="shared" si="23"/>
        <v>-14.259999999999991</v>
      </c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16200</v>
      </c>
      <c r="F78" s="179">
        <v>5400.16</v>
      </c>
      <c r="G78" s="160">
        <f t="shared" si="19"/>
        <v>-10799.84</v>
      </c>
      <c r="H78" s="162">
        <f>F78/E78*100</f>
        <v>33.33432098765432</v>
      </c>
      <c r="I78" s="165">
        <f t="shared" si="20"/>
        <v>-73599.84</v>
      </c>
      <c r="J78" s="165">
        <f>F78/D78*100</f>
        <v>6.835645569620254</v>
      </c>
      <c r="K78" s="165">
        <v>9113.39</v>
      </c>
      <c r="L78" s="165">
        <f t="shared" si="21"/>
        <v>-3713.2299999999996</v>
      </c>
      <c r="M78" s="207">
        <f>F78/K78</f>
        <v>0.592552277473037</v>
      </c>
      <c r="N78" s="162">
        <f>E78-травень!E78</f>
        <v>3850</v>
      </c>
      <c r="O78" s="166">
        <f>F78-травень!F78</f>
        <v>814.7399999999998</v>
      </c>
      <c r="P78" s="165">
        <f t="shared" si="22"/>
        <v>-3035.26</v>
      </c>
      <c r="Q78" s="165">
        <f>O78/N78*100</f>
        <v>21.162077922077916</v>
      </c>
      <c r="R78" s="37">
        <v>1500</v>
      </c>
      <c r="S78" s="37">
        <f t="shared" si="23"/>
        <v>-685.2600000000002</v>
      </c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6</v>
      </c>
      <c r="F79" s="179">
        <v>7</v>
      </c>
      <c r="G79" s="160">
        <f t="shared" si="19"/>
        <v>1</v>
      </c>
      <c r="H79" s="162">
        <f>F79/E79*100</f>
        <v>116.66666666666667</v>
      </c>
      <c r="I79" s="165">
        <f t="shared" si="20"/>
        <v>-5</v>
      </c>
      <c r="J79" s="165">
        <f>F79/D79*100</f>
        <v>58.333333333333336</v>
      </c>
      <c r="K79" s="165">
        <v>5</v>
      </c>
      <c r="L79" s="165">
        <f t="shared" si="21"/>
        <v>2</v>
      </c>
      <c r="M79" s="207"/>
      <c r="N79" s="162">
        <f>E79-травень!E79</f>
        <v>1</v>
      </c>
      <c r="O79" s="166">
        <f>F79-травень!F79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40836</v>
      </c>
      <c r="F80" s="182">
        <f>F76+F77+F78+F79</f>
        <v>5897.94</v>
      </c>
      <c r="G80" s="183">
        <f t="shared" si="19"/>
        <v>-34938.06</v>
      </c>
      <c r="H80" s="184">
        <f>F80/E80*100</f>
        <v>14.442991478107551</v>
      </c>
      <c r="I80" s="185">
        <f t="shared" si="20"/>
        <v>-231320.09</v>
      </c>
      <c r="J80" s="185">
        <f>F80/D80*100</f>
        <v>2.4862949919953383</v>
      </c>
      <c r="K80" s="185">
        <v>11029.59</v>
      </c>
      <c r="L80" s="185">
        <f t="shared" si="21"/>
        <v>-5131.650000000001</v>
      </c>
      <c r="M80" s="212">
        <f>F80/K80</f>
        <v>0.5347379186352348</v>
      </c>
      <c r="N80" s="183">
        <f>N76+N77+N78+N79</f>
        <v>11951</v>
      </c>
      <c r="O80" s="187">
        <f>O76+O77+O78+O79</f>
        <v>1001.4899999999998</v>
      </c>
      <c r="P80" s="185">
        <f t="shared" si="22"/>
        <v>-10949.51</v>
      </c>
      <c r="Q80" s="185">
        <f>O80/N80*100</f>
        <v>8.379968203497613</v>
      </c>
      <c r="R80" s="38">
        <f>SUM(R76:R79)</f>
        <v>1701</v>
      </c>
      <c r="S80" s="38">
        <f t="shared" si="23"/>
        <v>-699.5100000000002</v>
      </c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4</v>
      </c>
      <c r="F81" s="179">
        <v>34.1</v>
      </c>
      <c r="G81" s="160">
        <f t="shared" si="19"/>
        <v>30.1</v>
      </c>
      <c r="H81" s="162"/>
      <c r="I81" s="165">
        <f t="shared" si="20"/>
        <v>-5.899999999999999</v>
      </c>
      <c r="J81" s="165"/>
      <c r="K81" s="165">
        <v>4.4</v>
      </c>
      <c r="L81" s="165">
        <f t="shared" si="21"/>
        <v>29.700000000000003</v>
      </c>
      <c r="M81" s="207">
        <f>F81/K81</f>
        <v>7.75</v>
      </c>
      <c r="N81" s="162">
        <f>E81-травень!E81</f>
        <v>0.5</v>
      </c>
      <c r="O81" s="166">
        <f>F81-травень!F81</f>
        <v>0</v>
      </c>
      <c r="P81" s="165">
        <f t="shared" si="22"/>
        <v>-0.5</v>
      </c>
      <c r="Q81" s="165"/>
      <c r="R81" s="37">
        <v>1</v>
      </c>
      <c r="S81" s="37">
        <f t="shared" si="23"/>
        <v>-1</v>
      </c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E82-травень!E82</f>
        <v>0</v>
      </c>
      <c r="O82" s="166">
        <f>F82-травень!F82</f>
        <v>0</v>
      </c>
      <c r="P82" s="165">
        <f t="shared" si="22"/>
        <v>0</v>
      </c>
      <c r="Q82" s="188"/>
      <c r="R82" s="40"/>
      <c r="S82" s="37">
        <f t="shared" si="23"/>
        <v>0</v>
      </c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4507</v>
      </c>
      <c r="F83" s="179">
        <v>5103.22</v>
      </c>
      <c r="G83" s="160">
        <f t="shared" si="19"/>
        <v>596.2200000000003</v>
      </c>
      <c r="H83" s="162">
        <f>F83/E83*100</f>
        <v>113.22875526958065</v>
      </c>
      <c r="I83" s="165">
        <f t="shared" si="20"/>
        <v>-3256.7799999999997</v>
      </c>
      <c r="J83" s="165">
        <f>F83/D83*100</f>
        <v>61.043301435406704</v>
      </c>
      <c r="K83" s="165">
        <v>4887.77</v>
      </c>
      <c r="L83" s="165">
        <f t="shared" si="21"/>
        <v>215.44999999999982</v>
      </c>
      <c r="M83" s="207"/>
      <c r="N83" s="162">
        <f>E83-травень!E83</f>
        <v>0.5</v>
      </c>
      <c r="O83" s="166">
        <f>F83-травень!F83</f>
        <v>0</v>
      </c>
      <c r="P83" s="165">
        <f>O83-N83</f>
        <v>-0.5</v>
      </c>
      <c r="Q83" s="188">
        <f>O83/N83*100</f>
        <v>0</v>
      </c>
      <c r="R83" s="40">
        <v>2850</v>
      </c>
      <c r="S83" s="285">
        <f t="shared" si="23"/>
        <v>-2850</v>
      </c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0.69</v>
      </c>
      <c r="L84" s="165">
        <f t="shared" si="21"/>
        <v>-0.6399999999999999</v>
      </c>
      <c r="M84" s="207">
        <f aca="true" t="shared" si="24" ref="M84:M89">F84/K84</f>
        <v>0.07246376811594205</v>
      </c>
      <c r="N84" s="162">
        <f>E84-травень!E84</f>
        <v>0</v>
      </c>
      <c r="O84" s="166">
        <f>F84-травень!F84</f>
        <v>0</v>
      </c>
      <c r="P84" s="165">
        <f t="shared" si="22"/>
        <v>0</v>
      </c>
      <c r="Q84" s="165"/>
      <c r="R84" s="37">
        <v>0</v>
      </c>
      <c r="S84" s="37">
        <f t="shared" si="23"/>
        <v>0</v>
      </c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4511</v>
      </c>
      <c r="F85" s="182">
        <f>F81+F84+F82+F83</f>
        <v>5137.37</v>
      </c>
      <c r="G85" s="181">
        <f>G81+G84+G82+G83</f>
        <v>626.3700000000002</v>
      </c>
      <c r="H85" s="184">
        <f>F85/E85*100</f>
        <v>113.88539126579471</v>
      </c>
      <c r="I85" s="185">
        <f t="shared" si="20"/>
        <v>-3262.63</v>
      </c>
      <c r="J85" s="185">
        <f>F85/D85*100</f>
        <v>61.159166666666664</v>
      </c>
      <c r="K85" s="185">
        <v>4892.86</v>
      </c>
      <c r="L85" s="185">
        <f t="shared" si="21"/>
        <v>244.51000000000022</v>
      </c>
      <c r="M85" s="218">
        <f t="shared" si="24"/>
        <v>1.0499728175341212</v>
      </c>
      <c r="N85" s="183">
        <f>N81+N84+N82+N83</f>
        <v>1</v>
      </c>
      <c r="O85" s="187">
        <f>O81+O84+O82+O83</f>
        <v>0</v>
      </c>
      <c r="P85" s="183">
        <f>P81+P84+P82+P83</f>
        <v>-1</v>
      </c>
      <c r="Q85" s="185">
        <f>O85/N85*100</f>
        <v>0</v>
      </c>
      <c r="R85" s="38">
        <f>SUM(R81:R84)</f>
        <v>2851</v>
      </c>
      <c r="S85" s="38">
        <f t="shared" si="23"/>
        <v>-2851</v>
      </c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23.3</v>
      </c>
      <c r="F86" s="179">
        <v>7.74</v>
      </c>
      <c r="G86" s="160">
        <f t="shared" si="19"/>
        <v>-15.56</v>
      </c>
      <c r="H86" s="162">
        <f>F86/E86*100</f>
        <v>33.21888412017167</v>
      </c>
      <c r="I86" s="165">
        <f t="shared" si="20"/>
        <v>-30.259999999999998</v>
      </c>
      <c r="J86" s="165">
        <f>F86/D86*100</f>
        <v>20.36842105263158</v>
      </c>
      <c r="K86" s="165">
        <v>9.19</v>
      </c>
      <c r="L86" s="165">
        <f t="shared" si="21"/>
        <v>-1.4499999999999993</v>
      </c>
      <c r="M86" s="207">
        <f t="shared" si="24"/>
        <v>0.8422198041349294</v>
      </c>
      <c r="N86" s="162">
        <f>E86-травень!E86</f>
        <v>8</v>
      </c>
      <c r="O86" s="166">
        <f>F86-травень!F86</f>
        <v>0</v>
      </c>
      <c r="P86" s="165">
        <f t="shared" si="22"/>
        <v>-8</v>
      </c>
      <c r="Q86" s="165">
        <f>O86/N86</f>
        <v>0</v>
      </c>
      <c r="R86" s="37">
        <v>1.2</v>
      </c>
      <c r="S86" s="37">
        <f t="shared" si="23"/>
        <v>-1.2</v>
      </c>
      <c r="T86" s="37"/>
      <c r="U86" s="96"/>
    </row>
    <row r="87" spans="2:21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45370.3</v>
      </c>
      <c r="F88" s="189">
        <f>F74+F75+F80+F85+F86</f>
        <v>11075.99</v>
      </c>
      <c r="G88" s="190">
        <f>F88-E88</f>
        <v>-34294.310000000005</v>
      </c>
      <c r="H88" s="191">
        <f>F88/E88*100</f>
        <v>24.412423986616794</v>
      </c>
      <c r="I88" s="192">
        <f>F88-D88</f>
        <v>-234580.04</v>
      </c>
      <c r="J88" s="192">
        <f>F88/D88*100</f>
        <v>4.508739313258461</v>
      </c>
      <c r="K88" s="192">
        <v>15931.38</v>
      </c>
      <c r="L88" s="192">
        <f>F88-K88</f>
        <v>-4855.389999999999</v>
      </c>
      <c r="M88" s="219">
        <f t="shared" si="24"/>
        <v>0.6952310471534795</v>
      </c>
      <c r="N88" s="189">
        <f>N74+N75+N80+N85+N86</f>
        <v>11960</v>
      </c>
      <c r="O88" s="189">
        <f>O74+O75+O80+O85+O86</f>
        <v>1001.4899999999998</v>
      </c>
      <c r="P88" s="192">
        <f t="shared" si="22"/>
        <v>-10958.51</v>
      </c>
      <c r="Q88" s="192">
        <f>O88/N88*100</f>
        <v>8.373662207357857</v>
      </c>
      <c r="R88" s="26">
        <f>R80+R85+R86+R87</f>
        <v>4553.2</v>
      </c>
      <c r="S88" s="26">
        <f>S80+S85+S86+S87</f>
        <v>-3551.71</v>
      </c>
      <c r="T88" s="26"/>
      <c r="U88" s="94">
        <f>O88/8104.96</f>
        <v>0.12356507620025266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684169.6</v>
      </c>
      <c r="F89" s="189">
        <f>F67+F88</f>
        <v>564223.94</v>
      </c>
      <c r="G89" s="190">
        <f>F89-E89</f>
        <v>-119945.66000000003</v>
      </c>
      <c r="H89" s="191">
        <f>F89/E89*100</f>
        <v>82.4684318040439</v>
      </c>
      <c r="I89" s="192">
        <f>F89-D89</f>
        <v>-1038923.1900000002</v>
      </c>
      <c r="J89" s="192">
        <f>F89/D89*100</f>
        <v>35.19476967781491</v>
      </c>
      <c r="K89" s="192">
        <f>K67+K88</f>
        <v>413780.67</v>
      </c>
      <c r="L89" s="192">
        <f>F89-K89</f>
        <v>150443.26999999996</v>
      </c>
      <c r="M89" s="219">
        <f t="shared" si="24"/>
        <v>1.363582160568303</v>
      </c>
      <c r="N89" s="190">
        <f>N67+N88</f>
        <v>121252</v>
      </c>
      <c r="O89" s="190">
        <f>O67+O88</f>
        <v>21681.269999999953</v>
      </c>
      <c r="P89" s="192">
        <f t="shared" si="22"/>
        <v>-99570.73000000004</v>
      </c>
      <c r="Q89" s="192">
        <f>O89/N89*100</f>
        <v>17.881164846765376</v>
      </c>
      <c r="R89" s="26">
        <f>R67+R88</f>
        <v>114467.2</v>
      </c>
      <c r="S89" s="26">
        <f>S67+S88</f>
        <v>-92785.93000000005</v>
      </c>
      <c r="T89" s="26"/>
      <c r="U89" s="94">
        <f>O89/42872.96</f>
        <v>0.505709659421695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17</v>
      </c>
      <c r="D91" s="4" t="s">
        <v>35</v>
      </c>
      <c r="O91" s="77"/>
      <c r="S91" s="28"/>
    </row>
    <row r="92" spans="2:20" ht="30.75">
      <c r="B92" s="51" t="s">
        <v>53</v>
      </c>
      <c r="C92" s="28">
        <f>IF(P67&lt;0,ABS(P67/C91),0)</f>
        <v>5212.483529411767</v>
      </c>
      <c r="D92" s="4" t="s">
        <v>24</v>
      </c>
      <c r="G92" s="317"/>
      <c r="H92" s="317"/>
      <c r="I92" s="317"/>
      <c r="J92" s="317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42893</v>
      </c>
      <c r="D93" s="28">
        <v>8767.9</v>
      </c>
      <c r="G93" s="4" t="s">
        <v>58</v>
      </c>
      <c r="O93" s="318"/>
      <c r="P93" s="318"/>
    </row>
    <row r="94" spans="3:16" ht="15">
      <c r="C94" s="80">
        <v>42892</v>
      </c>
      <c r="D94" s="28">
        <v>3810.5</v>
      </c>
      <c r="F94" s="112" t="s">
        <v>58</v>
      </c>
      <c r="G94" s="319"/>
      <c r="H94" s="319"/>
      <c r="I94" s="117"/>
      <c r="J94" s="320"/>
      <c r="K94" s="320"/>
      <c r="L94" s="320"/>
      <c r="M94" s="320"/>
      <c r="N94" s="320"/>
      <c r="O94" s="318"/>
      <c r="P94" s="318"/>
    </row>
    <row r="95" spans="3:16" ht="15.75" customHeight="1">
      <c r="C95" s="80">
        <v>42888</v>
      </c>
      <c r="D95" s="28">
        <v>3334.1</v>
      </c>
      <c r="F95" s="67"/>
      <c r="G95" s="319"/>
      <c r="H95" s="319"/>
      <c r="I95" s="117"/>
      <c r="J95" s="321"/>
      <c r="K95" s="321"/>
      <c r="L95" s="321"/>
      <c r="M95" s="321"/>
      <c r="N95" s="321"/>
      <c r="O95" s="318"/>
      <c r="P95" s="318"/>
    </row>
    <row r="96" spans="3:14" ht="15.75" customHeight="1">
      <c r="C96" s="80"/>
      <c r="F96" s="67"/>
      <c r="G96" s="325"/>
      <c r="H96" s="325"/>
      <c r="I96" s="123"/>
      <c r="J96" s="320"/>
      <c r="K96" s="320"/>
      <c r="L96" s="320"/>
      <c r="M96" s="320"/>
      <c r="N96" s="320"/>
    </row>
    <row r="97" spans="2:14" ht="18" customHeight="1">
      <c r="B97" s="326" t="s">
        <v>56</v>
      </c>
      <c r="C97" s="327"/>
      <c r="D97" s="132">
        <v>314.50372999999996</v>
      </c>
      <c r="E97" s="68"/>
      <c r="F97" s="124" t="s">
        <v>105</v>
      </c>
      <c r="G97" s="319"/>
      <c r="H97" s="319"/>
      <c r="I97" s="125"/>
      <c r="J97" s="320"/>
      <c r="K97" s="320"/>
      <c r="L97" s="320"/>
      <c r="M97" s="320"/>
      <c r="N97" s="320"/>
    </row>
    <row r="98" spans="6:13" ht="9.75" customHeight="1" hidden="1">
      <c r="F98" s="67"/>
      <c r="G98" s="319"/>
      <c r="H98" s="319"/>
      <c r="I98" s="67"/>
      <c r="J98" s="68"/>
      <c r="K98" s="68"/>
      <c r="L98" s="68"/>
      <c r="M98" s="68"/>
    </row>
    <row r="99" spans="2:13" ht="22.5" customHeight="1" hidden="1">
      <c r="B99" s="322" t="s">
        <v>59</v>
      </c>
      <c r="C99" s="323"/>
      <c r="D99" s="79">
        <v>0</v>
      </c>
      <c r="E99" s="50" t="s">
        <v>24</v>
      </c>
      <c r="F99" s="67"/>
      <c r="G99" s="319"/>
      <c r="H99" s="319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621</v>
      </c>
      <c r="F100" s="201">
        <f>F48+F51+F52</f>
        <v>768.42</v>
      </c>
      <c r="G100" s="67">
        <f>G48+G51+G52</f>
        <v>147.41999999999996</v>
      </c>
      <c r="H100" s="68"/>
      <c r="I100" s="68"/>
      <c r="N100" s="28">
        <f>N48+N51+N52</f>
        <v>89</v>
      </c>
      <c r="O100" s="200">
        <f>O48+O51+O52</f>
        <v>34.619999999999976</v>
      </c>
      <c r="P100" s="28">
        <f>P48+P51+P52</f>
        <v>-54.380000000000024</v>
      </c>
    </row>
    <row r="101" spans="4:16" ht="15" hidden="1">
      <c r="D101" s="77"/>
      <c r="I101" s="28"/>
      <c r="O101" s="324"/>
      <c r="P101" s="324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609145.7</v>
      </c>
      <c r="F102" s="227">
        <f>F9+F15+F18+F19+F23+F42+F45+F65+F59</f>
        <v>524066.6</v>
      </c>
      <c r="G102" s="28">
        <f>F102-E102</f>
        <v>-85079.09999999998</v>
      </c>
      <c r="H102" s="228">
        <f>F102/E102</f>
        <v>0.8603304595271706</v>
      </c>
      <c r="I102" s="28">
        <f>F102-D102</f>
        <v>-774982.0000000001</v>
      </c>
      <c r="J102" s="228">
        <f>F102/D102</f>
        <v>0.40342339770813807</v>
      </c>
      <c r="N102" s="28">
        <f>N9+N15+N17+N18+N19+N23+N42+N45+N65+N59</f>
        <v>104173.2</v>
      </c>
      <c r="O102" s="227">
        <f>O9+O15+O17+O18+O19+O23+O42+O45+O65+O59</f>
        <v>16739.93999999995</v>
      </c>
      <c r="P102" s="28">
        <f>O102-N102</f>
        <v>-87433.26000000004</v>
      </c>
      <c r="Q102" s="228">
        <f>O102/N102</f>
        <v>0.16069334531338147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29653.6</v>
      </c>
      <c r="F103" s="227">
        <f>F43+F44+F46+F48+F50+F51+F52+F53+F54+F60+F64+F47+F66</f>
        <v>29080.509999999995</v>
      </c>
      <c r="G103" s="28">
        <f>G43+G44+G46+G48+G50+G51+G52+G53+G54+G60+G64+G47</f>
        <v>-567.8400000000007</v>
      </c>
      <c r="H103" s="228">
        <f>F103/E103</f>
        <v>0.9806738473574876</v>
      </c>
      <c r="I103" s="28">
        <f>I43+I44+I46+I48+I50+I51+I52+I53+I54+I60+I64+I47</f>
        <v>-29356.74000000001</v>
      </c>
      <c r="J103" s="228">
        <f>F103/D103</f>
        <v>0.49759182102066124</v>
      </c>
      <c r="K103" s="28">
        <f aca="true" t="shared" si="25" ref="K103:P103">K43+K44+K46+K48+K50+K51+K52+K53+K54+K60+K64+K47</f>
        <v>22597.689999999995</v>
      </c>
      <c r="L103" s="28">
        <f t="shared" si="25"/>
        <v>6488.070000000001</v>
      </c>
      <c r="M103" s="28">
        <f t="shared" si="25"/>
        <v>18.19316148278297</v>
      </c>
      <c r="N103" s="28">
        <f>N43+N44+N46+N48+N50+N51+N52+N53+N54+N60+N64+N47+N66</f>
        <v>5118.8</v>
      </c>
      <c r="O103" s="227">
        <f>O43+O44+O46+O48+O50+O51+O52+O53+O54+O60+O64+O47+O66</f>
        <v>3939.839999999999</v>
      </c>
      <c r="P103" s="28">
        <f t="shared" si="25"/>
        <v>-1178.9600000000007</v>
      </c>
      <c r="Q103" s="228">
        <f>O103/N103</f>
        <v>0.7696803938423066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638799.2999999999</v>
      </c>
      <c r="F104" s="227">
        <f t="shared" si="26"/>
        <v>553147.11</v>
      </c>
      <c r="G104" s="28">
        <f t="shared" si="26"/>
        <v>-85646.93999999997</v>
      </c>
      <c r="H104" s="228">
        <f>F104/E104</f>
        <v>0.8659169006603483</v>
      </c>
      <c r="I104" s="28">
        <f t="shared" si="26"/>
        <v>-804338.7400000001</v>
      </c>
      <c r="J104" s="228">
        <f>F104/D104</f>
        <v>0.40747752232040413</v>
      </c>
      <c r="K104" s="28">
        <f t="shared" si="26"/>
        <v>22597.689999999995</v>
      </c>
      <c r="L104" s="28">
        <f t="shared" si="26"/>
        <v>6488.070000000001</v>
      </c>
      <c r="M104" s="28">
        <f t="shared" si="26"/>
        <v>18.19316148278297</v>
      </c>
      <c r="N104" s="28">
        <f t="shared" si="26"/>
        <v>109292</v>
      </c>
      <c r="O104" s="227">
        <f t="shared" si="26"/>
        <v>20679.77999999995</v>
      </c>
      <c r="P104" s="28">
        <f t="shared" si="26"/>
        <v>-88612.22000000004</v>
      </c>
      <c r="Q104" s="228">
        <f>O104/N104</f>
        <v>0.1892158620942059</v>
      </c>
    </row>
    <row r="105" spans="4:21" ht="15" hidden="1">
      <c r="D105" s="28">
        <f>D67-D104</f>
        <v>0</v>
      </c>
      <c r="E105" s="28">
        <f aca="true" t="shared" si="27" ref="E105:U105">E67-E104</f>
        <v>0</v>
      </c>
      <c r="F105" s="28">
        <f t="shared" si="27"/>
        <v>0.8399999999674037</v>
      </c>
      <c r="G105" s="28">
        <f t="shared" si="27"/>
        <v>-4.4100000000034925</v>
      </c>
      <c r="H105" s="228"/>
      <c r="I105" s="28">
        <f t="shared" si="27"/>
        <v>-4.410000000032596</v>
      </c>
      <c r="J105" s="228"/>
      <c r="K105" s="28">
        <f t="shared" si="27"/>
        <v>375251.6</v>
      </c>
      <c r="L105" s="28">
        <f t="shared" si="27"/>
        <v>148810.58999999997</v>
      </c>
      <c r="M105" s="28">
        <f t="shared" si="27"/>
        <v>-16.8028160331279</v>
      </c>
      <c r="N105" s="28">
        <f t="shared" si="27"/>
        <v>0</v>
      </c>
      <c r="O105" s="28">
        <f t="shared" si="27"/>
        <v>0</v>
      </c>
      <c r="P105" s="28">
        <f t="shared" si="27"/>
        <v>0</v>
      </c>
      <c r="Q105" s="28"/>
      <c r="R105" s="28">
        <f t="shared" si="27"/>
        <v>109914</v>
      </c>
      <c r="S105" s="28"/>
      <c r="T105" s="28"/>
      <c r="U105" s="28">
        <f t="shared" si="27"/>
        <v>0.59479348826507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64603.59999999993</v>
      </c>
    </row>
    <row r="108" spans="2:5" ht="15" hidden="1">
      <c r="B108" s="242" t="s">
        <v>153</v>
      </c>
      <c r="E108" s="28">
        <f>E88-E83-E76-E77</f>
        <v>16233.300000000003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63472.36</v>
      </c>
      <c r="F111" s="189">
        <f>F88+F110</f>
        <v>31330.309999999998</v>
      </c>
      <c r="G111" s="190">
        <f>F111-E111</f>
        <v>-32142.050000000003</v>
      </c>
      <c r="H111" s="191">
        <f>F111/E111*100</f>
        <v>49.36055631144012</v>
      </c>
      <c r="I111" s="192">
        <f>F111-D111</f>
        <v>-286733.94</v>
      </c>
      <c r="J111" s="192">
        <f>F111/D111*100</f>
        <v>9.850308546150659</v>
      </c>
      <c r="K111" s="192">
        <v>3039.87</v>
      </c>
      <c r="L111" s="192">
        <f>F111-K111</f>
        <v>28290.44</v>
      </c>
      <c r="M111" s="266">
        <f>F111/K111</f>
        <v>10.306463763253033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702271.6599999999</v>
      </c>
      <c r="F112" s="189">
        <f>F111+F67</f>
        <v>584478.26</v>
      </c>
      <c r="G112" s="190">
        <f>F112-E112</f>
        <v>-117793.3999999999</v>
      </c>
      <c r="H112" s="191">
        <f>F112/E112*100</f>
        <v>83.22680428254789</v>
      </c>
      <c r="I112" s="192">
        <f>F112-D112</f>
        <v>-1091077.09</v>
      </c>
      <c r="J112" s="192">
        <f>F112/D112*100</f>
        <v>34.88265905390711</v>
      </c>
      <c r="K112" s="192">
        <f>K89+K111</f>
        <v>416820.54</v>
      </c>
      <c r="L112" s="192">
        <f>F112-K112</f>
        <v>167657.72000000003</v>
      </c>
      <c r="M112" s="266">
        <f>F112/K112</f>
        <v>1.4022299860750624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1252927.2599999998</v>
      </c>
      <c r="F124" s="274">
        <f>F112+F113</f>
        <v>1130307.3399999999</v>
      </c>
      <c r="G124" s="275">
        <f t="shared" si="29"/>
        <v>-122619.91999999993</v>
      </c>
      <c r="H124" s="274">
        <f t="shared" si="31"/>
        <v>90.21332491400977</v>
      </c>
      <c r="I124" s="276">
        <f t="shared" si="30"/>
        <v>-1768116.7000000002</v>
      </c>
      <c r="J124" s="276">
        <f t="shared" si="32"/>
        <v>38.99730765412779</v>
      </c>
      <c r="Q124" s="240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31496062992125984" right="0.11811023622047245" top="0.1968503937007874" bottom="0.15748031496062992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G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77" sqref="O7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88" t="s">
        <v>194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85"/>
      <c r="S1" s="85"/>
      <c r="T1" s="85"/>
      <c r="U1" s="86"/>
    </row>
    <row r="2" spans="2:21" s="1" customFormat="1" ht="15.75" customHeight="1">
      <c r="B2" s="289"/>
      <c r="C2" s="289"/>
      <c r="D2" s="289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90"/>
      <c r="B3" s="292"/>
      <c r="C3" s="293" t="s">
        <v>0</v>
      </c>
      <c r="D3" s="294" t="s">
        <v>137</v>
      </c>
      <c r="E3" s="31"/>
      <c r="F3" s="295" t="s">
        <v>26</v>
      </c>
      <c r="G3" s="296"/>
      <c r="H3" s="296"/>
      <c r="I3" s="296"/>
      <c r="J3" s="297"/>
      <c r="K3" s="82"/>
      <c r="L3" s="82"/>
      <c r="M3" s="82"/>
      <c r="N3" s="298" t="s">
        <v>188</v>
      </c>
      <c r="O3" s="301" t="s">
        <v>189</v>
      </c>
      <c r="P3" s="301"/>
      <c r="Q3" s="301"/>
      <c r="R3" s="301"/>
      <c r="S3" s="301"/>
      <c r="T3" s="301"/>
      <c r="U3" s="301"/>
    </row>
    <row r="4" spans="1:21" ht="22.5" customHeight="1">
      <c r="A4" s="290"/>
      <c r="B4" s="292"/>
      <c r="C4" s="293"/>
      <c r="D4" s="294"/>
      <c r="E4" s="302" t="s">
        <v>185</v>
      </c>
      <c r="F4" s="304" t="s">
        <v>33</v>
      </c>
      <c r="G4" s="306" t="s">
        <v>186</v>
      </c>
      <c r="H4" s="299" t="s">
        <v>187</v>
      </c>
      <c r="I4" s="306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8" t="s">
        <v>195</v>
      </c>
      <c r="P4" s="306" t="s">
        <v>49</v>
      </c>
      <c r="Q4" s="310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91"/>
      <c r="B5" s="292"/>
      <c r="C5" s="293"/>
      <c r="D5" s="294"/>
      <c r="E5" s="303"/>
      <c r="F5" s="305"/>
      <c r="G5" s="307"/>
      <c r="H5" s="300"/>
      <c r="I5" s="307"/>
      <c r="J5" s="300"/>
      <c r="K5" s="311" t="s">
        <v>191</v>
      </c>
      <c r="L5" s="312"/>
      <c r="M5" s="313"/>
      <c r="N5" s="300"/>
      <c r="O5" s="309"/>
      <c r="P5" s="307"/>
      <c r="Q5" s="310"/>
      <c r="R5" s="314" t="s">
        <v>190</v>
      </c>
      <c r="S5" s="315"/>
      <c r="T5" s="316" t="s">
        <v>181</v>
      </c>
      <c r="U5" s="316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504703.6</v>
      </c>
      <c r="F8" s="149">
        <f>F9+F15+F18+F19+F23+F17</f>
        <v>505095.9600000001</v>
      </c>
      <c r="G8" s="149">
        <f aca="true" t="shared" si="0" ref="G8:G40">F8-E8</f>
        <v>392.36000000010245</v>
      </c>
      <c r="H8" s="150">
        <f>F8/E8*100</f>
        <v>100.07774067789492</v>
      </c>
      <c r="I8" s="151">
        <f>F8-D8</f>
        <v>-793355.14</v>
      </c>
      <c r="J8" s="151">
        <f>F8/D8*100</f>
        <v>38.89988309917871</v>
      </c>
      <c r="K8" s="149">
        <v>374994.96</v>
      </c>
      <c r="L8" s="149">
        <f aca="true" t="shared" si="1" ref="L8:L54">F8-K8</f>
        <v>130101.00000000006</v>
      </c>
      <c r="M8" s="203">
        <f aca="true" t="shared" si="2" ref="M8:M31">F8/K8</f>
        <v>1.3469406628825094</v>
      </c>
      <c r="N8" s="149">
        <f>N9+N15+N18+N19+N23+N17</f>
        <v>106726.09999999998</v>
      </c>
      <c r="O8" s="149">
        <f>O9+O15+O18+O19+O23+O17</f>
        <v>104783.70400000001</v>
      </c>
      <c r="P8" s="149">
        <f>O8-N8</f>
        <v>-1942.3959999999643</v>
      </c>
      <c r="Q8" s="149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278840</v>
      </c>
      <c r="F9" s="154">
        <v>281631.58</v>
      </c>
      <c r="G9" s="148">
        <f t="shared" si="0"/>
        <v>2791.5800000000163</v>
      </c>
      <c r="H9" s="155">
        <f>F9/E9*100</f>
        <v>101.00114043896143</v>
      </c>
      <c r="I9" s="156">
        <f>F9-D9</f>
        <v>-485013.42</v>
      </c>
      <c r="J9" s="156">
        <f>F9/D9*100</f>
        <v>36.73559209282002</v>
      </c>
      <c r="K9" s="225">
        <v>199100.92</v>
      </c>
      <c r="L9" s="157">
        <f t="shared" si="1"/>
        <v>82530.66</v>
      </c>
      <c r="M9" s="204">
        <f t="shared" si="2"/>
        <v>1.4145167184561478</v>
      </c>
      <c r="N9" s="155">
        <f>E9-квітень!E9</f>
        <v>57980</v>
      </c>
      <c r="O9" s="158">
        <f>F9-квітень!F9</f>
        <v>58535.478</v>
      </c>
      <c r="P9" s="159">
        <f>O9-N9</f>
        <v>555.4780000000028</v>
      </c>
      <c r="Q9" s="156">
        <f>O9/N9*100</f>
        <v>100.95805105208693</v>
      </c>
      <c r="R9" s="99">
        <v>57980</v>
      </c>
      <c r="S9" s="99">
        <f>O9-R9</f>
        <v>555.4780000000028</v>
      </c>
      <c r="T9" s="99">
        <f>березень!F9+квітень!R9</f>
        <v>223567.36</v>
      </c>
      <c r="U9" s="99">
        <f>F9-T9</f>
        <v>58064.22000000003</v>
      </c>
    </row>
    <row r="10" spans="1:21" s="6" customFormat="1" ht="15" customHeight="1">
      <c r="A10" s="8"/>
      <c r="B10" s="120" t="s">
        <v>89</v>
      </c>
      <c r="C10" s="101">
        <v>11010100</v>
      </c>
      <c r="D10" s="102">
        <v>701317</v>
      </c>
      <c r="E10" s="102">
        <v>253160</v>
      </c>
      <c r="F10" s="138">
        <v>257579.18</v>
      </c>
      <c r="G10" s="102">
        <f t="shared" si="0"/>
        <v>4419.179999999993</v>
      </c>
      <c r="H10" s="29">
        <f aca="true" t="shared" si="3" ref="H10:H39">F10/E10*100</f>
        <v>101.74560752093538</v>
      </c>
      <c r="I10" s="103">
        <f aca="true" t="shared" si="4" ref="I10:I40">F10-D10</f>
        <v>-443737.82</v>
      </c>
      <c r="J10" s="103">
        <f aca="true" t="shared" si="5" ref="J10:J39">F10/D10*100</f>
        <v>36.72792474729687</v>
      </c>
      <c r="K10" s="105">
        <v>174168.33</v>
      </c>
      <c r="L10" s="105">
        <f t="shared" si="1"/>
        <v>83410.85</v>
      </c>
      <c r="M10" s="205">
        <f t="shared" si="2"/>
        <v>1.4789093975925474</v>
      </c>
      <c r="N10" s="104">
        <f>E10-квітень!E10</f>
        <v>53024</v>
      </c>
      <c r="O10" s="142">
        <f>F10-квітень!F10</f>
        <v>53213.32000000001</v>
      </c>
      <c r="P10" s="105">
        <f aca="true" t="shared" si="6" ref="P10:P40">O10-N10</f>
        <v>189.32000000000698</v>
      </c>
      <c r="Q10" s="103">
        <f aca="true" t="shared" si="7" ref="Q10:Q27">O10/N10*100</f>
        <v>100.35704586602294</v>
      </c>
      <c r="R10" s="36"/>
      <c r="S10" s="99">
        <f aca="true" t="shared" si="8" ref="S10:S35">O10-R10</f>
        <v>53213.32000000001</v>
      </c>
      <c r="T10" s="36"/>
      <c r="U10" s="93"/>
    </row>
    <row r="11" spans="1:21" s="6" customFormat="1" ht="15" customHeight="1">
      <c r="A11" s="8"/>
      <c r="B11" s="120" t="s">
        <v>85</v>
      </c>
      <c r="C11" s="101">
        <v>11010200</v>
      </c>
      <c r="D11" s="102">
        <v>46506</v>
      </c>
      <c r="E11" s="102">
        <v>18360</v>
      </c>
      <c r="F11" s="138">
        <v>15819.9</v>
      </c>
      <c r="G11" s="102">
        <f t="shared" si="0"/>
        <v>-2540.1000000000004</v>
      </c>
      <c r="H11" s="29">
        <f t="shared" si="3"/>
        <v>86.16503267973856</v>
      </c>
      <c r="I11" s="103">
        <f t="shared" si="4"/>
        <v>-30686.1</v>
      </c>
      <c r="J11" s="103">
        <f t="shared" si="5"/>
        <v>34.01690104502645</v>
      </c>
      <c r="K11" s="105">
        <v>14679.25</v>
      </c>
      <c r="L11" s="105">
        <f t="shared" si="1"/>
        <v>1140.6499999999996</v>
      </c>
      <c r="M11" s="205">
        <f t="shared" si="2"/>
        <v>1.0777049236166698</v>
      </c>
      <c r="N11" s="104">
        <f>E11-квітень!E11</f>
        <v>3660</v>
      </c>
      <c r="O11" s="142">
        <f>F11-квітень!F11</f>
        <v>3390.75</v>
      </c>
      <c r="P11" s="105">
        <f t="shared" si="6"/>
        <v>-269.25</v>
      </c>
      <c r="Q11" s="103">
        <f t="shared" si="7"/>
        <v>92.64344262295083</v>
      </c>
      <c r="R11" s="36"/>
      <c r="S11" s="99">
        <f t="shared" si="8"/>
        <v>3390.75</v>
      </c>
      <c r="T11" s="36"/>
      <c r="U11" s="93"/>
    </row>
    <row r="12" spans="1:21" s="6" customFormat="1" ht="15" customHeight="1">
      <c r="A12" s="8"/>
      <c r="B12" s="120" t="s">
        <v>88</v>
      </c>
      <c r="C12" s="101">
        <v>11010400</v>
      </c>
      <c r="D12" s="102">
        <v>8280</v>
      </c>
      <c r="E12" s="102">
        <v>2940</v>
      </c>
      <c r="F12" s="138">
        <v>3742.26</v>
      </c>
      <c r="G12" s="102">
        <f t="shared" si="0"/>
        <v>802.2600000000002</v>
      </c>
      <c r="H12" s="29">
        <f t="shared" si="3"/>
        <v>127.28775510204082</v>
      </c>
      <c r="I12" s="103">
        <f t="shared" si="4"/>
        <v>-4537.74</v>
      </c>
      <c r="J12" s="103">
        <f t="shared" si="5"/>
        <v>45.196376811594206</v>
      </c>
      <c r="K12" s="105">
        <v>4583.23</v>
      </c>
      <c r="L12" s="105">
        <f t="shared" si="1"/>
        <v>-840.9699999999993</v>
      </c>
      <c r="M12" s="205">
        <f t="shared" si="2"/>
        <v>0.8165114995319895</v>
      </c>
      <c r="N12" s="104">
        <f>E12-квітень!E12</f>
        <v>600</v>
      </c>
      <c r="O12" s="142">
        <f>F12-квітень!F12</f>
        <v>1132.67</v>
      </c>
      <c r="P12" s="105">
        <f t="shared" si="6"/>
        <v>532.6700000000001</v>
      </c>
      <c r="Q12" s="103">
        <f t="shared" si="7"/>
        <v>188.77833333333334</v>
      </c>
      <c r="R12" s="36"/>
      <c r="S12" s="99">
        <f t="shared" si="8"/>
        <v>1132.67</v>
      </c>
      <c r="T12" s="36"/>
      <c r="U12" s="93"/>
    </row>
    <row r="13" spans="1:21" s="6" customFormat="1" ht="15" customHeight="1">
      <c r="A13" s="8"/>
      <c r="B13" s="120" t="s">
        <v>86</v>
      </c>
      <c r="C13" s="101">
        <v>11010500</v>
      </c>
      <c r="D13" s="102">
        <v>9390</v>
      </c>
      <c r="E13" s="102">
        <v>3900</v>
      </c>
      <c r="F13" s="138">
        <v>3882.59</v>
      </c>
      <c r="G13" s="102">
        <f t="shared" si="0"/>
        <v>-17.409999999999854</v>
      </c>
      <c r="H13" s="29">
        <f t="shared" si="3"/>
        <v>99.55358974358974</v>
      </c>
      <c r="I13" s="103">
        <f t="shared" si="4"/>
        <v>-5507.41</v>
      </c>
      <c r="J13" s="103">
        <f t="shared" si="5"/>
        <v>41.34813631522897</v>
      </c>
      <c r="K13" s="105">
        <v>3763.44</v>
      </c>
      <c r="L13" s="105">
        <f t="shared" si="1"/>
        <v>119.15000000000009</v>
      </c>
      <c r="M13" s="205">
        <f t="shared" si="2"/>
        <v>1.0316598643793975</v>
      </c>
      <c r="N13" s="104">
        <f>E13-квітень!E13</f>
        <v>600</v>
      </c>
      <c r="O13" s="142">
        <f>F13-квітень!F13</f>
        <v>673.2600000000002</v>
      </c>
      <c r="P13" s="105">
        <f t="shared" si="6"/>
        <v>73.26000000000022</v>
      </c>
      <c r="Q13" s="103">
        <f t="shared" si="7"/>
        <v>112.21000000000004</v>
      </c>
      <c r="R13" s="36"/>
      <c r="S13" s="99">
        <f t="shared" si="8"/>
        <v>673.2600000000002</v>
      </c>
      <c r="T13" s="36"/>
      <c r="U13" s="93"/>
    </row>
    <row r="14" spans="1:21" s="6" customFormat="1" ht="15" customHeight="1">
      <c r="A14" s="8"/>
      <c r="B14" s="120" t="s">
        <v>87</v>
      </c>
      <c r="C14" s="101">
        <v>11010900</v>
      </c>
      <c r="D14" s="102">
        <v>1152</v>
      </c>
      <c r="E14" s="102">
        <v>480</v>
      </c>
      <c r="F14" s="138">
        <v>607.65</v>
      </c>
      <c r="G14" s="102">
        <f t="shared" si="0"/>
        <v>127.64999999999998</v>
      </c>
      <c r="H14" s="29">
        <f t="shared" si="3"/>
        <v>126.59375</v>
      </c>
      <c r="I14" s="103">
        <f t="shared" si="4"/>
        <v>-544.35</v>
      </c>
      <c r="J14" s="103">
        <f t="shared" si="5"/>
        <v>52.747395833333336</v>
      </c>
      <c r="K14" s="105">
        <v>1906.68</v>
      </c>
      <c r="L14" s="105">
        <f t="shared" si="1"/>
        <v>-1299.0300000000002</v>
      </c>
      <c r="M14" s="205">
        <f t="shared" si="2"/>
        <v>0.3186953238089244</v>
      </c>
      <c r="N14" s="104">
        <f>E14-квітень!E14</f>
        <v>96</v>
      </c>
      <c r="O14" s="142">
        <f>F14-квітень!F14</f>
        <v>125.47999999999996</v>
      </c>
      <c r="P14" s="105">
        <f t="shared" si="6"/>
        <v>29.47999999999996</v>
      </c>
      <c r="Q14" s="103">
        <f t="shared" si="7"/>
        <v>130.7083333333333</v>
      </c>
      <c r="R14" s="36"/>
      <c r="S14" s="99">
        <f t="shared" si="8"/>
        <v>125.47999999999996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E15-квітень!E15</f>
        <v>170</v>
      </c>
      <c r="O15" s="166">
        <f>F15-квітень!F15</f>
        <v>360.92</v>
      </c>
      <c r="P15" s="159">
        <f t="shared" si="6"/>
        <v>190.92000000000002</v>
      </c>
      <c r="Q15" s="156"/>
      <c r="R15" s="36">
        <v>150</v>
      </c>
      <c r="S15" s="99">
        <f t="shared" si="8"/>
        <v>210.92000000000002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E16-квітень!E16</f>
        <v>0</v>
      </c>
      <c r="O16" s="166">
        <f>F16-квітень!F16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0.14</v>
      </c>
      <c r="L17" s="159">
        <f t="shared" si="1"/>
        <v>0.35</v>
      </c>
      <c r="M17" s="206">
        <f t="shared" si="2"/>
        <v>3.4999999999999996</v>
      </c>
      <c r="N17" s="162">
        <f>E17-квітень!E17</f>
        <v>0</v>
      </c>
      <c r="O17" s="166">
        <f>F17-квітень!F17</f>
        <v>0.49</v>
      </c>
      <c r="P17" s="165">
        <f t="shared" si="6"/>
        <v>0.49</v>
      </c>
      <c r="Q17" s="156"/>
      <c r="R17" s="103"/>
      <c r="S17" s="99">
        <f t="shared" si="8"/>
        <v>0.49</v>
      </c>
      <c r="T17" s="103"/>
      <c r="U17" s="108"/>
    </row>
    <row r="18" spans="1:21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E18-квітень!E18</f>
        <v>0</v>
      </c>
      <c r="O18" s="166">
        <f>F18-квітень!F18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v>48400</v>
      </c>
      <c r="F19" s="154">
        <v>44995.09</v>
      </c>
      <c r="G19" s="160">
        <f t="shared" si="0"/>
        <v>-3404.9100000000035</v>
      </c>
      <c r="H19" s="162">
        <f t="shared" si="3"/>
        <v>92.96506198347106</v>
      </c>
      <c r="I19" s="163">
        <f t="shared" si="4"/>
        <v>-85004.91</v>
      </c>
      <c r="J19" s="163">
        <f t="shared" si="5"/>
        <v>34.611607692307686</v>
      </c>
      <c r="K19" s="159">
        <v>35230.56</v>
      </c>
      <c r="L19" s="165">
        <f t="shared" si="1"/>
        <v>9764.529999999999</v>
      </c>
      <c r="M19" s="211">
        <f t="shared" si="2"/>
        <v>1.2771607944920547</v>
      </c>
      <c r="N19" s="162">
        <f>E19-квітень!E19</f>
        <v>10500</v>
      </c>
      <c r="O19" s="166">
        <f>F19-квітень!F19</f>
        <v>8890.325999999994</v>
      </c>
      <c r="P19" s="165">
        <f t="shared" si="6"/>
        <v>-1609.6740000000063</v>
      </c>
      <c r="Q19" s="163">
        <f t="shared" si="7"/>
        <v>84.66977142857137</v>
      </c>
      <c r="R19" s="36">
        <v>9450</v>
      </c>
      <c r="S19" s="99">
        <f t="shared" si="8"/>
        <v>-559.6740000000063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29650</v>
      </c>
      <c r="F20" s="199">
        <v>26128.49</v>
      </c>
      <c r="G20" s="250">
        <f t="shared" si="0"/>
        <v>-3521.5099999999984</v>
      </c>
      <c r="H20" s="193">
        <f t="shared" si="3"/>
        <v>88.12306913996628</v>
      </c>
      <c r="I20" s="251">
        <f t="shared" si="4"/>
        <v>-50371.509999999995</v>
      </c>
      <c r="J20" s="251">
        <f t="shared" si="5"/>
        <v>34.15488888888889</v>
      </c>
      <c r="K20" s="252">
        <v>35230.56</v>
      </c>
      <c r="L20" s="164">
        <f t="shared" si="1"/>
        <v>-9102.069999999996</v>
      </c>
      <c r="M20" s="253">
        <f t="shared" si="2"/>
        <v>0.7416427669614108</v>
      </c>
      <c r="N20" s="193">
        <f>E20-квітень!E20</f>
        <v>5750</v>
      </c>
      <c r="O20" s="177">
        <f>F20-квітень!F20</f>
        <v>4148.91</v>
      </c>
      <c r="P20" s="164">
        <f t="shared" si="6"/>
        <v>-1601.0900000000001</v>
      </c>
      <c r="Q20" s="251">
        <f t="shared" si="7"/>
        <v>72.15495652173914</v>
      </c>
      <c r="R20" s="106">
        <v>4450</v>
      </c>
      <c r="S20" s="99">
        <f t="shared" si="8"/>
        <v>-301.09000000000015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3950</v>
      </c>
      <c r="F21" s="199">
        <v>4093.69</v>
      </c>
      <c r="G21" s="250">
        <f t="shared" si="0"/>
        <v>143.69000000000005</v>
      </c>
      <c r="H21" s="193"/>
      <c r="I21" s="251">
        <f t="shared" si="4"/>
        <v>-6606.3099999999995</v>
      </c>
      <c r="J21" s="251">
        <f t="shared" si="5"/>
        <v>38.258785046728974</v>
      </c>
      <c r="K21" s="252">
        <v>0</v>
      </c>
      <c r="L21" s="164">
        <f t="shared" si="1"/>
        <v>4093.69</v>
      </c>
      <c r="M21" s="253"/>
      <c r="N21" s="193">
        <f>E21-квітень!E21</f>
        <v>950</v>
      </c>
      <c r="O21" s="177">
        <f>F21-квітень!F21</f>
        <v>974.75</v>
      </c>
      <c r="P21" s="164">
        <f t="shared" si="6"/>
        <v>24.75</v>
      </c>
      <c r="Q21" s="251"/>
      <c r="R21" s="106">
        <v>1000</v>
      </c>
      <c r="S21" s="99">
        <f t="shared" si="8"/>
        <v>-25.25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14800</v>
      </c>
      <c r="F22" s="199">
        <v>14772.92</v>
      </c>
      <c r="G22" s="250">
        <f t="shared" si="0"/>
        <v>-27.079999999999927</v>
      </c>
      <c r="H22" s="193"/>
      <c r="I22" s="251">
        <f t="shared" si="4"/>
        <v>-28027.08</v>
      </c>
      <c r="J22" s="251">
        <f t="shared" si="5"/>
        <v>34.516168224299065</v>
      </c>
      <c r="K22" s="252">
        <v>0</v>
      </c>
      <c r="L22" s="164">
        <f t="shared" si="1"/>
        <v>14772.92</v>
      </c>
      <c r="M22" s="253"/>
      <c r="N22" s="193">
        <f>E22-квітень!E22</f>
        <v>3800</v>
      </c>
      <c r="O22" s="177">
        <f>F22-квітень!F22</f>
        <v>3766.6800000000003</v>
      </c>
      <c r="P22" s="164">
        <f t="shared" si="6"/>
        <v>-33.31999999999971</v>
      </c>
      <c r="Q22" s="251"/>
      <c r="R22" s="106">
        <v>4000</v>
      </c>
      <c r="S22" s="99">
        <f t="shared" si="8"/>
        <v>-233.3199999999997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177052.59999999998</v>
      </c>
      <c r="F23" s="221">
        <f>F24+F32+F33+F34+F35</f>
        <v>178305.78</v>
      </c>
      <c r="G23" s="148">
        <f t="shared" si="0"/>
        <v>1253.1800000000221</v>
      </c>
      <c r="H23" s="155">
        <f t="shared" si="3"/>
        <v>100.70780095858521</v>
      </c>
      <c r="I23" s="156">
        <f t="shared" si="4"/>
        <v>-222824.31999999998</v>
      </c>
      <c r="J23" s="156">
        <f t="shared" si="5"/>
        <v>44.45086020719961</v>
      </c>
      <c r="K23" s="156">
        <v>140248.27</v>
      </c>
      <c r="L23" s="159">
        <f t="shared" si="1"/>
        <v>38057.51000000001</v>
      </c>
      <c r="M23" s="207">
        <f t="shared" si="2"/>
        <v>1.271358142243038</v>
      </c>
      <c r="N23" s="155">
        <f>E23-квітень!E23</f>
        <v>38076.09999999998</v>
      </c>
      <c r="O23" s="158">
        <f>F23-квітень!F23</f>
        <v>36996.49000000002</v>
      </c>
      <c r="P23" s="159">
        <f t="shared" si="6"/>
        <v>-1079.609999999957</v>
      </c>
      <c r="Q23" s="156">
        <f t="shared" si="7"/>
        <v>97.16459931558128</v>
      </c>
      <c r="R23" s="280">
        <f>R24+R32+R33+R34+R35</f>
        <v>37059</v>
      </c>
      <c r="S23" s="99">
        <f t="shared" si="8"/>
        <v>-62.50999999998021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82707.9</v>
      </c>
      <c r="F24" s="221">
        <f>F25+F28+F29</f>
        <v>81732.13</v>
      </c>
      <c r="G24" s="148">
        <f t="shared" si="0"/>
        <v>-975.7699999999895</v>
      </c>
      <c r="H24" s="155">
        <f t="shared" si="3"/>
        <v>98.82022152660146</v>
      </c>
      <c r="I24" s="156">
        <f t="shared" si="4"/>
        <v>-124888.87</v>
      </c>
      <c r="J24" s="156">
        <f t="shared" si="5"/>
        <v>39.55654555926068</v>
      </c>
      <c r="K24" s="156">
        <v>71540.14</v>
      </c>
      <c r="L24" s="159">
        <f t="shared" si="1"/>
        <v>10191.990000000005</v>
      </c>
      <c r="M24" s="207">
        <f t="shared" si="2"/>
        <v>1.1424653348455847</v>
      </c>
      <c r="N24" s="155">
        <f>E24-квітень!E24</f>
        <v>15364.099999999991</v>
      </c>
      <c r="O24" s="158">
        <f>F24-квітень!F24</f>
        <v>14055.14</v>
      </c>
      <c r="P24" s="159">
        <f t="shared" si="6"/>
        <v>-1308.9599999999919</v>
      </c>
      <c r="Q24" s="156">
        <f t="shared" si="7"/>
        <v>91.48039911221619</v>
      </c>
      <c r="R24" s="106">
        <f>R25+R28+R29</f>
        <v>14352</v>
      </c>
      <c r="S24" s="99">
        <f t="shared" si="8"/>
        <v>-296.8600000000006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9584.1</v>
      </c>
      <c r="F25" s="170">
        <v>10136.04</v>
      </c>
      <c r="G25" s="169">
        <f t="shared" si="0"/>
        <v>551.9400000000005</v>
      </c>
      <c r="H25" s="171">
        <f t="shared" si="3"/>
        <v>105.75891319998749</v>
      </c>
      <c r="I25" s="172">
        <f t="shared" si="4"/>
        <v>-12672.96</v>
      </c>
      <c r="J25" s="172">
        <f t="shared" si="5"/>
        <v>44.43877416809155</v>
      </c>
      <c r="K25" s="173">
        <v>8640.15</v>
      </c>
      <c r="L25" s="164">
        <f t="shared" si="1"/>
        <v>1495.8900000000012</v>
      </c>
      <c r="M25" s="213">
        <f t="shared" si="2"/>
        <v>1.1731324108956442</v>
      </c>
      <c r="N25" s="155">
        <f>E25-квітень!E25</f>
        <v>254.10000000000036</v>
      </c>
      <c r="O25" s="158">
        <f>F25-квітень!F25</f>
        <v>389.7300000000014</v>
      </c>
      <c r="P25" s="175">
        <f t="shared" si="6"/>
        <v>135.63000000000102</v>
      </c>
      <c r="Q25" s="172">
        <f t="shared" si="7"/>
        <v>153.3766233766237</v>
      </c>
      <c r="R25" s="106">
        <v>347</v>
      </c>
      <c r="S25" s="99">
        <f t="shared" si="8"/>
        <v>42.73000000000138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605</v>
      </c>
      <c r="F26" s="161">
        <v>197.27</v>
      </c>
      <c r="G26" s="196">
        <f t="shared" si="0"/>
        <v>-407.73</v>
      </c>
      <c r="H26" s="197">
        <f t="shared" si="3"/>
        <v>32.606611570247935</v>
      </c>
      <c r="I26" s="198">
        <f t="shared" si="4"/>
        <v>-1625.03</v>
      </c>
      <c r="J26" s="198">
        <f t="shared" si="5"/>
        <v>10.825330626131812</v>
      </c>
      <c r="K26" s="198">
        <v>263.65</v>
      </c>
      <c r="L26" s="198">
        <f t="shared" si="1"/>
        <v>-66.37999999999997</v>
      </c>
      <c r="M26" s="226">
        <f t="shared" si="2"/>
        <v>0.7482268158543525</v>
      </c>
      <c r="N26" s="234">
        <f>E26-квітень!E26</f>
        <v>55</v>
      </c>
      <c r="O26" s="234">
        <f>F26-квітень!F26</f>
        <v>-2.969999999999999</v>
      </c>
      <c r="P26" s="198">
        <f t="shared" si="6"/>
        <v>-57.97</v>
      </c>
      <c r="Q26" s="198">
        <f t="shared" si="7"/>
        <v>-5.399999999999998</v>
      </c>
      <c r="R26" s="106"/>
      <c r="S26" s="99">
        <f t="shared" si="8"/>
        <v>-2.969999999999999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8979.1</v>
      </c>
      <c r="F27" s="161">
        <v>9938.77</v>
      </c>
      <c r="G27" s="196">
        <f t="shared" si="0"/>
        <v>959.6700000000001</v>
      </c>
      <c r="H27" s="197">
        <f t="shared" si="3"/>
        <v>110.68781949193126</v>
      </c>
      <c r="I27" s="198">
        <f t="shared" si="4"/>
        <v>-11047.93</v>
      </c>
      <c r="J27" s="198">
        <f t="shared" si="5"/>
        <v>47.35746925433727</v>
      </c>
      <c r="K27" s="198">
        <v>8376.5</v>
      </c>
      <c r="L27" s="198">
        <f t="shared" si="1"/>
        <v>1562.2700000000004</v>
      </c>
      <c r="M27" s="226">
        <f t="shared" si="2"/>
        <v>1.186506297379574</v>
      </c>
      <c r="N27" s="234">
        <f>E27-квітень!E27</f>
        <v>199.10000000000036</v>
      </c>
      <c r="O27" s="234">
        <f>F27-квітень!F27</f>
        <v>392.7000000000007</v>
      </c>
      <c r="P27" s="198">
        <f t="shared" si="6"/>
        <v>193.60000000000036</v>
      </c>
      <c r="Q27" s="198">
        <f t="shared" si="7"/>
        <v>197.23756906077347</v>
      </c>
      <c r="R27" s="106"/>
      <c r="S27" s="99">
        <f t="shared" si="8"/>
        <v>392.7000000000007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128.8</v>
      </c>
      <c r="F28" s="170">
        <v>-45.48</v>
      </c>
      <c r="G28" s="169">
        <f t="shared" si="0"/>
        <v>-174.28</v>
      </c>
      <c r="H28" s="171">
        <f t="shared" si="3"/>
        <v>-35.31055900621117</v>
      </c>
      <c r="I28" s="172">
        <f t="shared" si="4"/>
        <v>-865.48</v>
      </c>
      <c r="J28" s="172">
        <f t="shared" si="5"/>
        <v>-5.546341463414634</v>
      </c>
      <c r="K28" s="172">
        <v>420.08</v>
      </c>
      <c r="L28" s="172">
        <f t="shared" si="1"/>
        <v>-465.56</v>
      </c>
      <c r="M28" s="210">
        <f t="shared" si="2"/>
        <v>-0.10826509236335936</v>
      </c>
      <c r="N28" s="193">
        <f>E28-квітень!E28</f>
        <v>5.000000000000014</v>
      </c>
      <c r="O28" s="177">
        <f>F28-квітень!F28</f>
        <v>-150</v>
      </c>
      <c r="P28" s="175">
        <f t="shared" si="6"/>
        <v>-155</v>
      </c>
      <c r="Q28" s="172">
        <f>O28/N28*100</f>
        <v>-2999.9999999999914</v>
      </c>
      <c r="R28" s="106">
        <v>5</v>
      </c>
      <c r="S28" s="99">
        <f t="shared" si="8"/>
        <v>-155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72995</v>
      </c>
      <c r="F29" s="170">
        <v>71641.57</v>
      </c>
      <c r="G29" s="169">
        <f t="shared" si="0"/>
        <v>-1353.429999999993</v>
      </c>
      <c r="H29" s="171">
        <f t="shared" si="3"/>
        <v>98.1458593054319</v>
      </c>
      <c r="I29" s="172">
        <f t="shared" si="4"/>
        <v>-111350.43</v>
      </c>
      <c r="J29" s="172">
        <f t="shared" si="5"/>
        <v>39.150110387339346</v>
      </c>
      <c r="K29" s="173">
        <v>62479.91</v>
      </c>
      <c r="L29" s="173">
        <f t="shared" si="1"/>
        <v>9161.660000000003</v>
      </c>
      <c r="M29" s="209">
        <f t="shared" si="2"/>
        <v>1.1466336939345785</v>
      </c>
      <c r="N29" s="193">
        <f>E29-квітень!E29</f>
        <v>15105</v>
      </c>
      <c r="O29" s="177">
        <f>F29-квітень!F29</f>
        <v>13815.410000000003</v>
      </c>
      <c r="P29" s="175">
        <f t="shared" si="6"/>
        <v>-1289.5899999999965</v>
      </c>
      <c r="Q29" s="172">
        <f>O29/N29*100</f>
        <v>91.46249586229727</v>
      </c>
      <c r="R29" s="106">
        <v>14000</v>
      </c>
      <c r="S29" s="99">
        <f t="shared" si="8"/>
        <v>-184.5899999999965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22080</v>
      </c>
      <c r="F30" s="161">
        <v>24151.24</v>
      </c>
      <c r="G30" s="196">
        <f t="shared" si="0"/>
        <v>2071.2400000000016</v>
      </c>
      <c r="H30" s="197">
        <f t="shared" si="3"/>
        <v>109.380615942029</v>
      </c>
      <c r="I30" s="198">
        <f t="shared" si="4"/>
        <v>-33381.759999999995</v>
      </c>
      <c r="J30" s="198">
        <f t="shared" si="5"/>
        <v>41.97806476283177</v>
      </c>
      <c r="K30" s="198">
        <v>19348.56</v>
      </c>
      <c r="L30" s="198">
        <f t="shared" si="1"/>
        <v>4802.68</v>
      </c>
      <c r="M30" s="226">
        <f t="shared" si="2"/>
        <v>1.248218988906668</v>
      </c>
      <c r="N30" s="234">
        <f>E30-квітень!E30</f>
        <v>4650</v>
      </c>
      <c r="O30" s="234">
        <f>F30-квітень!F30</f>
        <v>4846.710000000003</v>
      </c>
      <c r="P30" s="198">
        <f t="shared" si="6"/>
        <v>196.71000000000276</v>
      </c>
      <c r="Q30" s="198">
        <f>O30/N30*100</f>
        <v>104.23032258064522</v>
      </c>
      <c r="R30" s="106"/>
      <c r="S30" s="99">
        <f t="shared" si="8"/>
        <v>4846.710000000003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50915</v>
      </c>
      <c r="F31" s="161">
        <v>47490.33</v>
      </c>
      <c r="G31" s="196">
        <f t="shared" si="0"/>
        <v>-3424.6699999999983</v>
      </c>
      <c r="H31" s="197">
        <f t="shared" si="3"/>
        <v>93.27375036826083</v>
      </c>
      <c r="I31" s="198">
        <f t="shared" si="4"/>
        <v>-77968.67</v>
      </c>
      <c r="J31" s="198">
        <f t="shared" si="5"/>
        <v>37.853266804294634</v>
      </c>
      <c r="K31" s="198">
        <v>43131.35</v>
      </c>
      <c r="L31" s="198">
        <f t="shared" si="1"/>
        <v>4358.980000000003</v>
      </c>
      <c r="M31" s="226">
        <f t="shared" si="2"/>
        <v>1.1010629159532452</v>
      </c>
      <c r="N31" s="234">
        <f>E31-квітень!E31</f>
        <v>10455</v>
      </c>
      <c r="O31" s="234">
        <f>F31-квітень!F31</f>
        <v>8968.700000000004</v>
      </c>
      <c r="P31" s="198">
        <f t="shared" si="6"/>
        <v>-1486.2999999999956</v>
      </c>
      <c r="Q31" s="198">
        <f>O31/N31*100</f>
        <v>85.78383548541372</v>
      </c>
      <c r="R31" s="106"/>
      <c r="S31" s="99">
        <f t="shared" si="8"/>
        <v>8968.700000000004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E32-квітень!E32</f>
        <v>0</v>
      </c>
      <c r="O32" s="158">
        <f>F32-квітень!F32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39</v>
      </c>
      <c r="F33" s="154">
        <v>75.23</v>
      </c>
      <c r="G33" s="148">
        <f t="shared" si="0"/>
        <v>36.230000000000004</v>
      </c>
      <c r="H33" s="155">
        <f t="shared" si="3"/>
        <v>192.8974358974359</v>
      </c>
      <c r="I33" s="156">
        <f t="shared" si="4"/>
        <v>-39.769999999999996</v>
      </c>
      <c r="J33" s="156">
        <f t="shared" si="5"/>
        <v>65.41739130434783</v>
      </c>
      <c r="K33" s="156">
        <v>51.14</v>
      </c>
      <c r="L33" s="156">
        <f t="shared" si="1"/>
        <v>24.090000000000003</v>
      </c>
      <c r="M33" s="208">
        <f>F33/K33</f>
        <v>1.4710598357450138</v>
      </c>
      <c r="N33" s="155">
        <f>E33-квітень!E33</f>
        <v>12</v>
      </c>
      <c r="O33" s="158">
        <f>F33-квітень!F33</f>
        <v>22.820000000000007</v>
      </c>
      <c r="P33" s="159">
        <f t="shared" si="6"/>
        <v>10.820000000000007</v>
      </c>
      <c r="Q33" s="156">
        <f>O33/N33*100</f>
        <v>190.16666666666674</v>
      </c>
      <c r="R33" s="106">
        <v>7</v>
      </c>
      <c r="S33" s="99">
        <f t="shared" si="8"/>
        <v>15.820000000000007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-26.77</v>
      </c>
      <c r="G34" s="148">
        <f t="shared" si="0"/>
        <v>-26.77</v>
      </c>
      <c r="H34" s="155"/>
      <c r="I34" s="156">
        <f t="shared" si="4"/>
        <v>-26.77</v>
      </c>
      <c r="J34" s="156"/>
      <c r="K34" s="156">
        <v>-109.72</v>
      </c>
      <c r="L34" s="156">
        <f t="shared" si="1"/>
        <v>82.95</v>
      </c>
      <c r="M34" s="208">
        <f>F34/K34</f>
        <v>0.24398468829748451</v>
      </c>
      <c r="N34" s="155">
        <f>E34-квітень!E34</f>
        <v>0</v>
      </c>
      <c r="O34" s="158">
        <f>F34-квітень!F34</f>
        <v>0.5800000000000018</v>
      </c>
      <c r="P34" s="159">
        <f t="shared" si="6"/>
        <v>0.5800000000000018</v>
      </c>
      <c r="Q34" s="156"/>
      <c r="R34" s="106"/>
      <c r="S34" s="99">
        <f t="shared" si="8"/>
        <v>0.5800000000000018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94305.7</v>
      </c>
      <c r="F35" s="161">
        <v>96524.99</v>
      </c>
      <c r="G35" s="160">
        <f t="shared" si="0"/>
        <v>2219.290000000008</v>
      </c>
      <c r="H35" s="162">
        <f t="shared" si="3"/>
        <v>102.35329359731173</v>
      </c>
      <c r="I35" s="163">
        <f t="shared" si="4"/>
        <v>-97869.11</v>
      </c>
      <c r="J35" s="163">
        <f t="shared" si="5"/>
        <v>49.65427963091473</v>
      </c>
      <c r="K35" s="176">
        <v>68766.7</v>
      </c>
      <c r="L35" s="176">
        <f>F35-K35</f>
        <v>27758.290000000008</v>
      </c>
      <c r="M35" s="224">
        <f>F35/K35</f>
        <v>1.4036588930398</v>
      </c>
      <c r="N35" s="155">
        <f>E35-квітень!E35</f>
        <v>22700</v>
      </c>
      <c r="O35" s="158">
        <f>F35-квітень!F35</f>
        <v>22917.95000000001</v>
      </c>
      <c r="P35" s="165">
        <f t="shared" si="6"/>
        <v>217.95000000001164</v>
      </c>
      <c r="Q35" s="163">
        <f>O35/N35*100</f>
        <v>100.96013215859037</v>
      </c>
      <c r="R35" s="106">
        <v>22700</v>
      </c>
      <c r="S35" s="99">
        <f t="shared" si="8"/>
        <v>217.95000000001164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0.18</v>
      </c>
      <c r="L36" s="126">
        <f t="shared" si="1"/>
        <v>-0.16999999999999998</v>
      </c>
      <c r="M36" s="214">
        <f aca="true" t="shared" si="9" ref="M36:M42">F36/K36</f>
        <v>0.05555555555555556</v>
      </c>
      <c r="N36" s="104">
        <f>E36-квітень!E36</f>
        <v>0</v>
      </c>
      <c r="O36" s="142">
        <f>F36-квітень!F36</f>
        <v>0.01</v>
      </c>
      <c r="P36" s="105">
        <f t="shared" si="6"/>
        <v>0.01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18920</v>
      </c>
      <c r="F37" s="138">
        <v>19261.69</v>
      </c>
      <c r="G37" s="102">
        <f t="shared" si="0"/>
        <v>341.6899999999987</v>
      </c>
      <c r="H37" s="104">
        <f t="shared" si="3"/>
        <v>101.80597251585624</v>
      </c>
      <c r="I37" s="103">
        <f t="shared" si="4"/>
        <v>-21738.31</v>
      </c>
      <c r="J37" s="103">
        <f t="shared" si="5"/>
        <v>46.97973170731707</v>
      </c>
      <c r="K37" s="126">
        <v>17552.06</v>
      </c>
      <c r="L37" s="126">
        <f t="shared" si="1"/>
        <v>1709.6299999999974</v>
      </c>
      <c r="M37" s="214">
        <f t="shared" si="9"/>
        <v>1.0974033817113202</v>
      </c>
      <c r="N37" s="104">
        <f>E37-квітень!E37</f>
        <v>5700</v>
      </c>
      <c r="O37" s="142">
        <f>F37-квітень!F37</f>
        <v>5263.269999999999</v>
      </c>
      <c r="P37" s="105">
        <f t="shared" si="6"/>
        <v>-436.7300000000014</v>
      </c>
      <c r="Q37" s="103">
        <f>O37/N37*100</f>
        <v>92.33807017543857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75360</v>
      </c>
      <c r="F38" s="138">
        <v>77240.19</v>
      </c>
      <c r="G38" s="102">
        <f t="shared" si="0"/>
        <v>1880.1900000000023</v>
      </c>
      <c r="H38" s="104">
        <f t="shared" si="3"/>
        <v>102.49494426751593</v>
      </c>
      <c r="I38" s="103">
        <f t="shared" si="4"/>
        <v>-76098.91</v>
      </c>
      <c r="J38" s="103">
        <f t="shared" si="5"/>
        <v>50.37214252594413</v>
      </c>
      <c r="K38" s="126">
        <v>51200.46</v>
      </c>
      <c r="L38" s="126">
        <f t="shared" si="1"/>
        <v>26039.730000000003</v>
      </c>
      <c r="M38" s="214">
        <f t="shared" si="9"/>
        <v>1.5085839072539584</v>
      </c>
      <c r="N38" s="104">
        <f>E38-квітень!E38</f>
        <v>17000</v>
      </c>
      <c r="O38" s="142">
        <f>F38-квітень!F38</f>
        <v>17654.670000000006</v>
      </c>
      <c r="P38" s="105">
        <f t="shared" si="6"/>
        <v>654.6700000000055</v>
      </c>
      <c r="Q38" s="103">
        <f>O38/N38*100</f>
        <v>103.85100000000003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E39-квітень!E39</f>
        <v>0</v>
      </c>
      <c r="O39" s="142">
        <f>F39-квітень!F39</f>
        <v>0</v>
      </c>
      <c r="P39" s="105">
        <f t="shared" si="6"/>
        <v>0</v>
      </c>
      <c r="Q39" s="103"/>
      <c r="R39" s="106"/>
      <c r="S39" s="106"/>
      <c r="T39" s="106"/>
      <c r="U39" s="107"/>
    </row>
    <row r="40" spans="1:21" s="6" customFormat="1" ht="15" customHeight="1">
      <c r="A40" s="8"/>
      <c r="B40" s="229" t="s">
        <v>193</v>
      </c>
      <c r="C40" s="42">
        <v>220102</v>
      </c>
      <c r="D40" s="33">
        <v>0</v>
      </c>
      <c r="E40" s="33">
        <v>0</v>
      </c>
      <c r="F40" s="287">
        <v>0.35</v>
      </c>
      <c r="G40" s="33">
        <f t="shared" si="0"/>
        <v>0.35</v>
      </c>
      <c r="H40" s="29"/>
      <c r="I40" s="36">
        <f t="shared" si="4"/>
        <v>0.35</v>
      </c>
      <c r="J40" s="36"/>
      <c r="K40" s="118">
        <v>0</v>
      </c>
      <c r="L40" s="118">
        <f t="shared" si="1"/>
        <v>0.35</v>
      </c>
      <c r="M40" s="215" t="e">
        <f t="shared" si="9"/>
        <v>#DIV/0!</v>
      </c>
      <c r="N40" s="155">
        <f>E40-квітень!E40</f>
        <v>0</v>
      </c>
      <c r="O40" s="158">
        <f>F40-квітень!F40</f>
        <v>0.35</v>
      </c>
      <c r="P40" s="35">
        <f t="shared" si="6"/>
        <v>0.35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24797.3</v>
      </c>
      <c r="F41" s="284">
        <f>F42+F43+F44+F45+F46+F48+F50+F51+F52+F53+F54+F59+F60+F64+F47+F40</f>
        <v>27355.109999999993</v>
      </c>
      <c r="G41" s="149">
        <f>G42+G43+G44+G45+G46+G48+G50+G51+G52+G53+G54+G59+G60+G64</f>
        <v>2597.25</v>
      </c>
      <c r="H41" s="150">
        <f>F41/E41*100</f>
        <v>110.31487299020455</v>
      </c>
      <c r="I41" s="151">
        <f>F41-D41</f>
        <v>-31669.890000000007</v>
      </c>
      <c r="J41" s="151">
        <f>F41/D41*100</f>
        <v>46.34495552731892</v>
      </c>
      <c r="K41" s="149">
        <v>22840.42</v>
      </c>
      <c r="L41" s="149">
        <f t="shared" si="1"/>
        <v>4514.689999999995</v>
      </c>
      <c r="M41" s="203">
        <f t="shared" si="9"/>
        <v>1.1976623021818336</v>
      </c>
      <c r="N41" s="149">
        <f>N42+N43+N44+N45+N46+N48+N50+N51+N52+N53+N54+N59+N60+N64+N47</f>
        <v>5362.8</v>
      </c>
      <c r="O41" s="149">
        <f>O42+O43+O44+O45+O46+O48+O50+O51+O52+O53+O54+O59+O60+O64+O47+O40</f>
        <v>7917.213999999998</v>
      </c>
      <c r="P41" s="149">
        <f>P42+P43+P44+P45+P46+P48+P50+P51+P52+P53+P54+P59+P60+P64</f>
        <v>2560.8639999999996</v>
      </c>
      <c r="Q41" s="149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E42-квітень!E42</f>
        <v>180</v>
      </c>
      <c r="O42" s="166">
        <f>F42-квітень!F42</f>
        <v>2385.63</v>
      </c>
      <c r="P42" s="165">
        <f>O42-N42</f>
        <v>2205.63</v>
      </c>
      <c r="Q42" s="163">
        <f aca="true" t="shared" si="11" ref="Q42:Q65">O42/N42*100</f>
        <v>1325.3500000000001</v>
      </c>
      <c r="R42" s="36">
        <v>420</v>
      </c>
      <c r="S42" s="36">
        <f>O42-R42</f>
        <v>1965.63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10900</v>
      </c>
      <c r="F43" s="154">
        <v>10479.16</v>
      </c>
      <c r="G43" s="160">
        <f aca="true" t="shared" si="12" ref="G43:G66">F43-E43</f>
        <v>-420.84000000000015</v>
      </c>
      <c r="H43" s="162">
        <f t="shared" si="10"/>
        <v>96.13908256880734</v>
      </c>
      <c r="I43" s="163">
        <f aca="true" t="shared" si="13" ref="I43:I66">F43-D43</f>
        <v>-19520.84</v>
      </c>
      <c r="J43" s="163">
        <f>F43/D43*100</f>
        <v>34.93053333333333</v>
      </c>
      <c r="K43" s="163">
        <v>10098.73</v>
      </c>
      <c r="L43" s="163">
        <f t="shared" si="1"/>
        <v>380.4300000000003</v>
      </c>
      <c r="M43" s="216"/>
      <c r="N43" s="162">
        <f>E43-квітень!E43</f>
        <v>2800</v>
      </c>
      <c r="O43" s="166">
        <f>F43-квітень!F43</f>
        <v>2672.2969999999996</v>
      </c>
      <c r="P43" s="165">
        <f aca="true" t="shared" si="14" ref="P43:P66">O43-N43</f>
        <v>-127.70300000000043</v>
      </c>
      <c r="Q43" s="163">
        <f t="shared" si="11"/>
        <v>95.43917857142856</v>
      </c>
      <c r="R43" s="36">
        <v>2672.3</v>
      </c>
      <c r="S43" s="36">
        <f aca="true" t="shared" si="15" ref="S43:S66">O43-R43</f>
        <v>-0.0030000000006111804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21</v>
      </c>
      <c r="F44" s="154">
        <v>92.8</v>
      </c>
      <c r="G44" s="160">
        <f t="shared" si="12"/>
        <v>71.8</v>
      </c>
      <c r="H44" s="162">
        <f>F44/E44*100</f>
        <v>441.9047619047619</v>
      </c>
      <c r="I44" s="163">
        <f t="shared" si="13"/>
        <v>52.8</v>
      </c>
      <c r="J44" s="163">
        <f aca="true" t="shared" si="16" ref="J44:J65">F44/D44*100</f>
        <v>231.99999999999997</v>
      </c>
      <c r="K44" s="163">
        <v>27.51</v>
      </c>
      <c r="L44" s="163">
        <f t="shared" si="1"/>
        <v>65.28999999999999</v>
      </c>
      <c r="M44" s="216">
        <f aca="true" t="shared" si="17" ref="M44:M66">F44/K44</f>
        <v>3.373318793166121</v>
      </c>
      <c r="N44" s="162">
        <f>E44-квітень!E44</f>
        <v>1</v>
      </c>
      <c r="O44" s="166">
        <f>F44-квітень!F44</f>
        <v>9.99799999999999</v>
      </c>
      <c r="P44" s="165">
        <f t="shared" si="14"/>
        <v>8.99799999999999</v>
      </c>
      <c r="Q44" s="163">
        <f t="shared" si="11"/>
        <v>999.799999999999</v>
      </c>
      <c r="R44" s="36">
        <v>1</v>
      </c>
      <c r="S44" s="36">
        <f t="shared" si="15"/>
        <v>8.99799999999999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E45-квітень!E45</f>
        <v>0</v>
      </c>
      <c r="O45" s="166">
        <f>F45-квітень!F45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106</v>
      </c>
      <c r="F46" s="154">
        <v>442.26</v>
      </c>
      <c r="G46" s="160">
        <f t="shared" si="12"/>
        <v>336.26</v>
      </c>
      <c r="H46" s="162">
        <f t="shared" si="10"/>
        <v>417.2264150943396</v>
      </c>
      <c r="I46" s="163">
        <f t="shared" si="13"/>
        <v>182.26</v>
      </c>
      <c r="J46" s="163">
        <f t="shared" si="16"/>
        <v>170.1</v>
      </c>
      <c r="K46" s="163">
        <v>50.4</v>
      </c>
      <c r="L46" s="163">
        <f t="shared" si="1"/>
        <v>391.86</v>
      </c>
      <c r="M46" s="216">
        <f t="shared" si="17"/>
        <v>8.775</v>
      </c>
      <c r="N46" s="162">
        <f>E46-квітень!E46</f>
        <v>22</v>
      </c>
      <c r="O46" s="166">
        <f>F46-квітень!F46</f>
        <v>47.77699999999999</v>
      </c>
      <c r="P46" s="165">
        <f t="shared" si="14"/>
        <v>25.776999999999987</v>
      </c>
      <c r="Q46" s="163">
        <f t="shared" si="11"/>
        <v>217.16818181818175</v>
      </c>
      <c r="R46" s="36">
        <v>22</v>
      </c>
      <c r="S46" s="36">
        <f t="shared" si="15"/>
        <v>25.776999999999987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40.8</v>
      </c>
      <c r="F47" s="154">
        <v>1.01</v>
      </c>
      <c r="G47" s="160">
        <f t="shared" si="12"/>
        <v>-39.79</v>
      </c>
      <c r="H47" s="162">
        <f t="shared" si="10"/>
        <v>2.4754901960784315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E47-квітень!E47</f>
        <v>6.799999999999997</v>
      </c>
      <c r="O47" s="166">
        <f>F47-квітень!F47</f>
        <v>0</v>
      </c>
      <c r="P47" s="165">
        <f t="shared" si="14"/>
        <v>-6.799999999999997</v>
      </c>
      <c r="Q47" s="163">
        <f t="shared" si="11"/>
        <v>0</v>
      </c>
      <c r="R47" s="36">
        <v>6.8</v>
      </c>
      <c r="S47" s="36">
        <f t="shared" si="15"/>
        <v>-6.8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400</v>
      </c>
      <c r="F48" s="154">
        <v>505.13</v>
      </c>
      <c r="G48" s="160">
        <f t="shared" si="12"/>
        <v>105.13</v>
      </c>
      <c r="H48" s="162">
        <f t="shared" si="10"/>
        <v>126.28250000000001</v>
      </c>
      <c r="I48" s="163">
        <f t="shared" si="13"/>
        <v>-224.87</v>
      </c>
      <c r="J48" s="163">
        <f t="shared" si="16"/>
        <v>69.19589041095891</v>
      </c>
      <c r="K48" s="163">
        <v>76.33</v>
      </c>
      <c r="L48" s="163">
        <f t="shared" si="1"/>
        <v>428.8</v>
      </c>
      <c r="M48" s="216"/>
      <c r="N48" s="162">
        <f>E48-квітень!E48</f>
        <v>60</v>
      </c>
      <c r="O48" s="166">
        <f>F48-квітень!F48</f>
        <v>111.65999999999997</v>
      </c>
      <c r="P48" s="165">
        <f t="shared" si="14"/>
        <v>51.65999999999997</v>
      </c>
      <c r="Q48" s="163">
        <f t="shared" si="11"/>
        <v>186.09999999999997</v>
      </c>
      <c r="R48" s="36">
        <v>60</v>
      </c>
      <c r="S48" s="36">
        <f t="shared" si="15"/>
        <v>51.65999999999997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E49-квітень!E49</f>
        <v>0</v>
      </c>
      <c r="O49" s="166">
        <f>F49-квітень!F49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5140</v>
      </c>
      <c r="F50" s="154">
        <v>6250.27</v>
      </c>
      <c r="G50" s="160">
        <f t="shared" si="12"/>
        <v>1110.2700000000004</v>
      </c>
      <c r="H50" s="162">
        <f t="shared" si="10"/>
        <v>121.60058365758755</v>
      </c>
      <c r="I50" s="163">
        <f t="shared" si="13"/>
        <v>-4749.73</v>
      </c>
      <c r="J50" s="163">
        <f t="shared" si="16"/>
        <v>56.82063636363637</v>
      </c>
      <c r="K50" s="163">
        <v>4057.41</v>
      </c>
      <c r="L50" s="163">
        <f t="shared" si="1"/>
        <v>2192.8600000000006</v>
      </c>
      <c r="M50" s="216">
        <f t="shared" si="17"/>
        <v>1.5404580754717914</v>
      </c>
      <c r="N50" s="162">
        <f>E50-квітень!E50</f>
        <v>900</v>
      </c>
      <c r="O50" s="166">
        <f>F50-квітень!F50</f>
        <v>1568.7600000000002</v>
      </c>
      <c r="P50" s="165">
        <f t="shared" si="14"/>
        <v>668.7600000000002</v>
      </c>
      <c r="Q50" s="163">
        <f t="shared" si="11"/>
        <v>174.3066666666667</v>
      </c>
      <c r="R50" s="36">
        <v>1000</v>
      </c>
      <c r="S50" s="36">
        <f t="shared" si="15"/>
        <v>568.7600000000002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125</v>
      </c>
      <c r="F51" s="154">
        <v>216.35</v>
      </c>
      <c r="G51" s="160">
        <f t="shared" si="12"/>
        <v>91.35</v>
      </c>
      <c r="H51" s="162">
        <f t="shared" si="10"/>
        <v>173.07999999999998</v>
      </c>
      <c r="I51" s="163">
        <f t="shared" si="13"/>
        <v>-93.65</v>
      </c>
      <c r="J51" s="163">
        <f t="shared" si="16"/>
        <v>69.79032258064515</v>
      </c>
      <c r="K51" s="163">
        <v>33.93</v>
      </c>
      <c r="L51" s="163">
        <f t="shared" si="1"/>
        <v>182.42</v>
      </c>
      <c r="M51" s="216"/>
      <c r="N51" s="162">
        <f>E51-квітень!E51</f>
        <v>25</v>
      </c>
      <c r="O51" s="166">
        <f>F51-квітень!F51</f>
        <v>40.97999999999999</v>
      </c>
      <c r="P51" s="165">
        <f t="shared" si="14"/>
        <v>15.97999999999999</v>
      </c>
      <c r="Q51" s="163">
        <f t="shared" si="11"/>
        <v>163.91999999999996</v>
      </c>
      <c r="R51" s="36">
        <v>25</v>
      </c>
      <c r="S51" s="36">
        <f t="shared" si="15"/>
        <v>15.97999999999999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7</v>
      </c>
      <c r="F52" s="154">
        <v>12.32</v>
      </c>
      <c r="G52" s="160">
        <f t="shared" si="12"/>
        <v>5.32</v>
      </c>
      <c r="H52" s="162">
        <f t="shared" si="10"/>
        <v>176</v>
      </c>
      <c r="I52" s="163">
        <f t="shared" si="13"/>
        <v>-7.68</v>
      </c>
      <c r="J52" s="163">
        <f t="shared" si="16"/>
        <v>61.6</v>
      </c>
      <c r="K52" s="163">
        <v>7.72</v>
      </c>
      <c r="L52" s="163">
        <f t="shared" si="1"/>
        <v>4.6000000000000005</v>
      </c>
      <c r="M52" s="216"/>
      <c r="N52" s="162">
        <f>E52-квітень!E52</f>
        <v>3</v>
      </c>
      <c r="O52" s="166">
        <f>F52-квітень!F52</f>
        <v>0.9600000000000009</v>
      </c>
      <c r="P52" s="165">
        <f t="shared" si="14"/>
        <v>-2.039999999999999</v>
      </c>
      <c r="Q52" s="163">
        <f t="shared" si="11"/>
        <v>32.00000000000003</v>
      </c>
      <c r="R52" s="36">
        <v>3</v>
      </c>
      <c r="S52" s="36">
        <f t="shared" si="15"/>
        <v>-2.039999999999999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3040</v>
      </c>
      <c r="F53" s="154">
        <v>2721.32</v>
      </c>
      <c r="G53" s="160">
        <f t="shared" si="12"/>
        <v>-318.67999999999984</v>
      </c>
      <c r="H53" s="162">
        <f t="shared" si="10"/>
        <v>89.5171052631579</v>
      </c>
      <c r="I53" s="163">
        <f t="shared" si="13"/>
        <v>-4553.68</v>
      </c>
      <c r="J53" s="163">
        <f t="shared" si="16"/>
        <v>37.40646048109966</v>
      </c>
      <c r="K53" s="163">
        <v>3304.24</v>
      </c>
      <c r="L53" s="163">
        <f t="shared" si="1"/>
        <v>-582.9199999999996</v>
      </c>
      <c r="M53" s="216">
        <f t="shared" si="17"/>
        <v>0.823584243275307</v>
      </c>
      <c r="N53" s="162">
        <f>E53-квітень!E53</f>
        <v>610</v>
      </c>
      <c r="O53" s="166">
        <f>F53-квітень!F53</f>
        <v>533.6179999999999</v>
      </c>
      <c r="P53" s="165">
        <f t="shared" si="14"/>
        <v>-76.38200000000006</v>
      </c>
      <c r="Q53" s="163">
        <f t="shared" si="11"/>
        <v>87.4783606557377</v>
      </c>
      <c r="R53" s="36">
        <v>533.6</v>
      </c>
      <c r="S53" s="36">
        <f t="shared" si="15"/>
        <v>0.017999999999915417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475</v>
      </c>
      <c r="F54" s="154">
        <v>333.52</v>
      </c>
      <c r="G54" s="160">
        <f t="shared" si="12"/>
        <v>-141.48000000000002</v>
      </c>
      <c r="H54" s="162">
        <f t="shared" si="10"/>
        <v>70.21473684210527</v>
      </c>
      <c r="I54" s="163">
        <f t="shared" si="13"/>
        <v>-866.48</v>
      </c>
      <c r="J54" s="163">
        <f t="shared" si="16"/>
        <v>27.79333333333333</v>
      </c>
      <c r="K54" s="163">
        <v>2573.46</v>
      </c>
      <c r="L54" s="163">
        <f t="shared" si="1"/>
        <v>-2239.94</v>
      </c>
      <c r="M54" s="216">
        <f t="shared" si="17"/>
        <v>0.12959983834992578</v>
      </c>
      <c r="N54" s="162">
        <f>E54-квітень!E54</f>
        <v>145</v>
      </c>
      <c r="O54" s="166">
        <f>F54-квітень!F54</f>
        <v>44.25799999999998</v>
      </c>
      <c r="P54" s="165">
        <f t="shared" si="14"/>
        <v>-100.74200000000002</v>
      </c>
      <c r="Q54" s="163">
        <f t="shared" si="11"/>
        <v>30.522758620689643</v>
      </c>
      <c r="R54" s="36">
        <v>70</v>
      </c>
      <c r="S54" s="36">
        <f t="shared" si="15"/>
        <v>-25.74200000000002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400</v>
      </c>
      <c r="F55" s="138">
        <v>290.38</v>
      </c>
      <c r="G55" s="33">
        <f t="shared" si="12"/>
        <v>-109.62</v>
      </c>
      <c r="H55" s="29">
        <f t="shared" si="10"/>
        <v>72.595</v>
      </c>
      <c r="I55" s="103">
        <f t="shared" si="13"/>
        <v>-707.62</v>
      </c>
      <c r="J55" s="103">
        <f t="shared" si="16"/>
        <v>29.096192384769537</v>
      </c>
      <c r="K55" s="103">
        <v>367.55</v>
      </c>
      <c r="L55" s="103">
        <f>F55-K55</f>
        <v>-77.17000000000002</v>
      </c>
      <c r="M55" s="108">
        <f t="shared" si="17"/>
        <v>0.7900421711331791</v>
      </c>
      <c r="N55" s="104">
        <f>E55-квітень!E55</f>
        <v>130</v>
      </c>
      <c r="O55" s="142">
        <f>F55-квітень!F55</f>
        <v>35</v>
      </c>
      <c r="P55" s="105">
        <f t="shared" si="14"/>
        <v>-95</v>
      </c>
      <c r="Q55" s="118">
        <f t="shared" si="11"/>
        <v>26.923076923076923</v>
      </c>
      <c r="R55" s="36"/>
      <c r="S55" s="36">
        <f t="shared" si="15"/>
        <v>35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0.23</v>
      </c>
      <c r="L56" s="103">
        <f>F56-K56</f>
        <v>-0.08000000000000002</v>
      </c>
      <c r="M56" s="108">
        <f t="shared" si="17"/>
        <v>0.6521739130434782</v>
      </c>
      <c r="N56" s="104">
        <f>E56-квітень!E56</f>
        <v>0</v>
      </c>
      <c r="O56" s="142">
        <f>F56-квітень!F56</f>
        <v>0.03</v>
      </c>
      <c r="P56" s="105">
        <f t="shared" si="14"/>
        <v>0.03</v>
      </c>
      <c r="Q56" s="118" t="e">
        <f t="shared" si="11"/>
        <v>#DIV/0!</v>
      </c>
      <c r="R56" s="36"/>
      <c r="S56" s="36">
        <f t="shared" si="15"/>
        <v>0.03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E57-квітень!E57</f>
        <v>0</v>
      </c>
      <c r="O57" s="142">
        <f>F57-квітень!F57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75</v>
      </c>
      <c r="F58" s="138">
        <v>43</v>
      </c>
      <c r="G58" s="33">
        <f t="shared" si="12"/>
        <v>-32</v>
      </c>
      <c r="H58" s="29">
        <f t="shared" si="10"/>
        <v>57.333333333333336</v>
      </c>
      <c r="I58" s="103">
        <f t="shared" si="13"/>
        <v>-157</v>
      </c>
      <c r="J58" s="103">
        <f t="shared" si="16"/>
        <v>21.5</v>
      </c>
      <c r="K58" s="103">
        <v>2205.67</v>
      </c>
      <c r="L58" s="103">
        <f>F58-K58</f>
        <v>-2162.67</v>
      </c>
      <c r="M58" s="108">
        <f t="shared" si="17"/>
        <v>0.019495210072222952</v>
      </c>
      <c r="N58" s="104">
        <f>E58-квітень!E58</f>
        <v>15</v>
      </c>
      <c r="O58" s="142">
        <f>F58-квітень!F58</f>
        <v>9.229999999999997</v>
      </c>
      <c r="P58" s="105">
        <f t="shared" si="14"/>
        <v>-5.770000000000003</v>
      </c>
      <c r="Q58" s="118">
        <f t="shared" si="11"/>
        <v>61.53333333333332</v>
      </c>
      <c r="R58" s="36"/>
      <c r="S58" s="36">
        <f t="shared" si="15"/>
        <v>9.229999999999997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E59-квітень!E59</f>
        <v>0</v>
      </c>
      <c r="O59" s="166">
        <f>F59-квітень!F59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4260</v>
      </c>
      <c r="F60" s="154">
        <v>4037.14</v>
      </c>
      <c r="G60" s="160">
        <f t="shared" si="12"/>
        <v>-222.86000000000013</v>
      </c>
      <c r="H60" s="162">
        <f t="shared" si="10"/>
        <v>94.76854460093897</v>
      </c>
      <c r="I60" s="163">
        <f t="shared" si="13"/>
        <v>-3312.86</v>
      </c>
      <c r="J60" s="163">
        <f t="shared" si="16"/>
        <v>54.92707482993197</v>
      </c>
      <c r="K60" s="163">
        <v>2320.11</v>
      </c>
      <c r="L60" s="163">
        <f aca="true" t="shared" si="18" ref="L60:L66">F60-K60</f>
        <v>1717.0299999999997</v>
      </c>
      <c r="M60" s="216">
        <f t="shared" si="17"/>
        <v>1.7400640486873467</v>
      </c>
      <c r="N60" s="162">
        <f>E60-квітень!E60</f>
        <v>600</v>
      </c>
      <c r="O60" s="166">
        <f>F60-квітень!F60</f>
        <v>500.9279999999999</v>
      </c>
      <c r="P60" s="165">
        <f t="shared" si="14"/>
        <v>-99.07200000000012</v>
      </c>
      <c r="Q60" s="163">
        <f t="shared" si="11"/>
        <v>83.48799999999999</v>
      </c>
      <c r="R60" s="36">
        <v>450</v>
      </c>
      <c r="S60" s="36">
        <f t="shared" si="15"/>
        <v>50.927999999999884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883.59</v>
      </c>
      <c r="G62" s="160"/>
      <c r="H62" s="162"/>
      <c r="I62" s="163"/>
      <c r="J62" s="163"/>
      <c r="K62" s="164">
        <v>478.67</v>
      </c>
      <c r="L62" s="163">
        <f t="shared" si="18"/>
        <v>404.92</v>
      </c>
      <c r="M62" s="216">
        <f t="shared" si="17"/>
        <v>1.845927256773978</v>
      </c>
      <c r="N62" s="193"/>
      <c r="O62" s="177">
        <f>F62-квітень!F62</f>
        <v>243.89999999999998</v>
      </c>
      <c r="P62" s="164"/>
      <c r="Q62" s="163"/>
      <c r="R62" s="36"/>
      <c r="S62" s="36">
        <f t="shared" si="15"/>
        <v>243.89999999999998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E64-квітень!E64</f>
        <v>10</v>
      </c>
      <c r="O64" s="166">
        <f>F64-квітень!F64</f>
        <v>-0.0020000000000024443</v>
      </c>
      <c r="P64" s="165">
        <f t="shared" si="14"/>
        <v>-10.002000000000002</v>
      </c>
      <c r="Q64" s="163"/>
      <c r="R64" s="36">
        <v>10</v>
      </c>
      <c r="S64" s="36">
        <f t="shared" si="15"/>
        <v>-10.002000000000002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6.4</v>
      </c>
      <c r="F65" s="154">
        <v>22.35</v>
      </c>
      <c r="G65" s="160">
        <f t="shared" si="12"/>
        <v>15.950000000000001</v>
      </c>
      <c r="H65" s="162">
        <f t="shared" si="10"/>
        <v>349.21875</v>
      </c>
      <c r="I65" s="163">
        <f t="shared" si="13"/>
        <v>7.350000000000001</v>
      </c>
      <c r="J65" s="163">
        <f t="shared" si="16"/>
        <v>149</v>
      </c>
      <c r="K65" s="163">
        <v>13.52</v>
      </c>
      <c r="L65" s="163">
        <f t="shared" si="18"/>
        <v>8.830000000000002</v>
      </c>
      <c r="M65" s="216">
        <f t="shared" si="17"/>
        <v>1.6531065088757397</v>
      </c>
      <c r="N65" s="162">
        <f>E65-квітень!E65</f>
        <v>1.3000000000000007</v>
      </c>
      <c r="O65" s="166">
        <f>F65-квітень!F65</f>
        <v>5.498000000000001</v>
      </c>
      <c r="P65" s="165">
        <f t="shared" si="14"/>
        <v>4.198</v>
      </c>
      <c r="Q65" s="163">
        <f t="shared" si="11"/>
        <v>422.92307692307674</v>
      </c>
      <c r="R65" s="36">
        <v>1.3</v>
      </c>
      <c r="S65" s="36">
        <f t="shared" si="15"/>
        <v>4.198000000000001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E66-квітень!E66</f>
        <v>0</v>
      </c>
      <c r="O66" s="166">
        <f>F66-квітень!F66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529507.3</v>
      </c>
      <c r="F67" s="149">
        <f>F8+F41+F65+F66</f>
        <v>532468.17</v>
      </c>
      <c r="G67" s="149">
        <f>F67-E67</f>
        <v>2960.8699999999953</v>
      </c>
      <c r="H67" s="150">
        <f>F67/E67*100</f>
        <v>100.55917453829248</v>
      </c>
      <c r="I67" s="151">
        <f>F67-D67</f>
        <v>-825022.93</v>
      </c>
      <c r="J67" s="151">
        <f>F67/D67*100</f>
        <v>39.22443174765566</v>
      </c>
      <c r="K67" s="151">
        <v>397849.29</v>
      </c>
      <c r="L67" s="151">
        <f>F67-K67</f>
        <v>134618.88000000006</v>
      </c>
      <c r="M67" s="217">
        <f>F67/K67</f>
        <v>1.3383665206490631</v>
      </c>
      <c r="N67" s="149">
        <f>N8+N41+N65+N66</f>
        <v>112090.19999999998</v>
      </c>
      <c r="O67" s="149">
        <f>O8+O41+O65+O66</f>
        <v>112706.41600000001</v>
      </c>
      <c r="P67" s="153">
        <f>O67-N67</f>
        <v>616.2160000000295</v>
      </c>
      <c r="Q67" s="151">
        <f>O67/N67*100</f>
        <v>100.54975011196343</v>
      </c>
      <c r="R67" s="26">
        <f>R8+R41+R65+R66</f>
        <v>109914</v>
      </c>
      <c r="S67" s="277">
        <f>O67-R67</f>
        <v>2792.416000000012</v>
      </c>
      <c r="T67" s="277"/>
      <c r="U67" s="114">
        <f>O67/34768</f>
        <v>3.241670961803958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  <c r="T72" s="37"/>
      <c r="U72" s="96"/>
    </row>
    <row r="73" spans="2:21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-55.72</v>
      </c>
      <c r="L73" s="165">
        <f>F73-K73</f>
        <v>53.08</v>
      </c>
      <c r="M73" s="207">
        <f>F73/K73</f>
        <v>0.04737975592246949</v>
      </c>
      <c r="N73" s="160">
        <f>E73-квітень!E73</f>
        <v>0</v>
      </c>
      <c r="O73" s="180">
        <f>F73-квітень!F73</f>
        <v>-2.64</v>
      </c>
      <c r="P73" s="165">
        <f>O73-N73</f>
        <v>-2.64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-0.27</v>
      </c>
      <c r="L74" s="185">
        <f>F74-K74</f>
        <v>-2.3600000000000003</v>
      </c>
      <c r="M74" s="212">
        <f>F74/K74</f>
        <v>9.74074074074074</v>
      </c>
      <c r="N74" s="183">
        <f>SUM(N72:N73)</f>
        <v>0</v>
      </c>
      <c r="O74" s="186">
        <f>SUM(O72:O73)</f>
        <v>-2.64</v>
      </c>
      <c r="P74" s="185">
        <f>O74-N74</f>
        <v>-2.64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E75-квітень!E75</f>
        <v>0</v>
      </c>
      <c r="O75" s="286">
        <f>F75-квітень!F75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4500</v>
      </c>
      <c r="F76" s="179">
        <v>0.13</v>
      </c>
      <c r="G76" s="160">
        <f t="shared" si="19"/>
        <v>-4499.87</v>
      </c>
      <c r="H76" s="162">
        <f>F76/E76*100</f>
        <v>0.0028888888888888888</v>
      </c>
      <c r="I76" s="165">
        <f t="shared" si="20"/>
        <v>-104205.9</v>
      </c>
      <c r="J76" s="165">
        <f>F76/D76*100</f>
        <v>0.00012475285739222577</v>
      </c>
      <c r="K76" s="165">
        <v>1041.97</v>
      </c>
      <c r="L76" s="165">
        <f t="shared" si="21"/>
        <v>-1041.84</v>
      </c>
      <c r="M76" s="207">
        <f>F76/K76</f>
        <v>0.0001247636688196397</v>
      </c>
      <c r="N76" s="162">
        <f>E76-квітень!E76</f>
        <v>4500</v>
      </c>
      <c r="O76" s="166">
        <f>F76-квітень!F76</f>
        <v>0.010000000000000009</v>
      </c>
      <c r="P76" s="165">
        <f t="shared" si="22"/>
        <v>-4499.99</v>
      </c>
      <c r="Q76" s="165">
        <f>O76/N76*100</f>
        <v>0.00022222222222222242</v>
      </c>
      <c r="R76" s="37">
        <v>0</v>
      </c>
      <c r="S76" s="37">
        <f aca="true" t="shared" si="23" ref="S76:S87">O76-R76</f>
        <v>0.010000000000000009</v>
      </c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12030</v>
      </c>
      <c r="F77" s="179">
        <v>304.9</v>
      </c>
      <c r="G77" s="160">
        <f t="shared" si="19"/>
        <v>-11725.1</v>
      </c>
      <c r="H77" s="162">
        <f>F77/E77*100</f>
        <v>2.534497090606816</v>
      </c>
      <c r="I77" s="165">
        <f t="shared" si="20"/>
        <v>-53695.1</v>
      </c>
      <c r="J77" s="165">
        <f>F77/D77*100</f>
        <v>0.5646296296296296</v>
      </c>
      <c r="K77" s="165">
        <v>869.23</v>
      </c>
      <c r="L77" s="165">
        <f t="shared" si="21"/>
        <v>-564.33</v>
      </c>
      <c r="M77" s="207">
        <f>F77/K77</f>
        <v>0.35077022192055035</v>
      </c>
      <c r="N77" s="162">
        <f>E77-квітень!E77</f>
        <v>3600</v>
      </c>
      <c r="O77" s="166">
        <f>F77-квітень!F77</f>
        <v>1.9799999999999613</v>
      </c>
      <c r="P77" s="165">
        <f t="shared" si="22"/>
        <v>-3598.02</v>
      </c>
      <c r="Q77" s="165">
        <f>O77/N77*100</f>
        <v>0.05499999999999893</v>
      </c>
      <c r="R77" s="37">
        <v>200</v>
      </c>
      <c r="S77" s="37">
        <f t="shared" si="23"/>
        <v>-198.02000000000004</v>
      </c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12350</v>
      </c>
      <c r="F78" s="179">
        <v>4585.42</v>
      </c>
      <c r="G78" s="160">
        <f t="shared" si="19"/>
        <v>-7764.58</v>
      </c>
      <c r="H78" s="162">
        <f>F78/E78*100</f>
        <v>37.128906882591096</v>
      </c>
      <c r="I78" s="165">
        <f t="shared" si="20"/>
        <v>-74414.58</v>
      </c>
      <c r="J78" s="165">
        <f>F78/D78*100</f>
        <v>5.804329113924051</v>
      </c>
      <c r="K78" s="165">
        <v>9113.39</v>
      </c>
      <c r="L78" s="165">
        <f t="shared" si="21"/>
        <v>-4527.969999999999</v>
      </c>
      <c r="M78" s="207">
        <f>F78/K78</f>
        <v>0.5031519555291719</v>
      </c>
      <c r="N78" s="162">
        <f>E78-квітень!E78</f>
        <v>3850</v>
      </c>
      <c r="O78" s="166">
        <f>F78-квітень!F78</f>
        <v>2763.9700000000003</v>
      </c>
      <c r="P78" s="165">
        <f t="shared" si="22"/>
        <v>-1086.0299999999997</v>
      </c>
      <c r="Q78" s="165">
        <f>O78/N78*100</f>
        <v>71.79142857142857</v>
      </c>
      <c r="R78" s="37">
        <v>1500</v>
      </c>
      <c r="S78" s="37">
        <f t="shared" si="23"/>
        <v>1263.9700000000003</v>
      </c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5</v>
      </c>
      <c r="F79" s="179">
        <v>6</v>
      </c>
      <c r="G79" s="160">
        <f t="shared" si="19"/>
        <v>1</v>
      </c>
      <c r="H79" s="162">
        <f>F79/E79*100</f>
        <v>120</v>
      </c>
      <c r="I79" s="165">
        <f t="shared" si="20"/>
        <v>-6</v>
      </c>
      <c r="J79" s="165">
        <f>F79/D79*100</f>
        <v>50</v>
      </c>
      <c r="K79" s="165">
        <v>5</v>
      </c>
      <c r="L79" s="165">
        <f t="shared" si="21"/>
        <v>1</v>
      </c>
      <c r="M79" s="207"/>
      <c r="N79" s="162">
        <f>E79-квітень!E79</f>
        <v>1</v>
      </c>
      <c r="O79" s="166">
        <f>F79-квітень!F79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28885</v>
      </c>
      <c r="F80" s="182">
        <f>F76+F77+F78+F79</f>
        <v>4896.45</v>
      </c>
      <c r="G80" s="183">
        <f t="shared" si="19"/>
        <v>-23988.55</v>
      </c>
      <c r="H80" s="184">
        <f>F80/E80*100</f>
        <v>16.95153193699152</v>
      </c>
      <c r="I80" s="185">
        <f t="shared" si="20"/>
        <v>-232321.58</v>
      </c>
      <c r="J80" s="185">
        <f>F80/D80*100</f>
        <v>2.064113760661447</v>
      </c>
      <c r="K80" s="185">
        <v>11029.59</v>
      </c>
      <c r="L80" s="185">
        <f t="shared" si="21"/>
        <v>-6133.14</v>
      </c>
      <c r="M80" s="212">
        <f>F80/K80</f>
        <v>0.4439376259679643</v>
      </c>
      <c r="N80" s="183">
        <f>N76+N77+N78+N79</f>
        <v>11951</v>
      </c>
      <c r="O80" s="187">
        <f>O76+O77+O78+O79</f>
        <v>2766.96</v>
      </c>
      <c r="P80" s="185">
        <f t="shared" si="22"/>
        <v>-9184.04</v>
      </c>
      <c r="Q80" s="185">
        <f>O80/N80*100</f>
        <v>23.152539536440468</v>
      </c>
      <c r="R80" s="38">
        <f>SUM(R76:R79)</f>
        <v>1701</v>
      </c>
      <c r="S80" s="38">
        <f t="shared" si="23"/>
        <v>1065.96</v>
      </c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3.5</v>
      </c>
      <c r="F81" s="179">
        <v>34.1</v>
      </c>
      <c r="G81" s="160">
        <f t="shared" si="19"/>
        <v>30.6</v>
      </c>
      <c r="H81" s="162"/>
      <c r="I81" s="165">
        <f t="shared" si="20"/>
        <v>-5.899999999999999</v>
      </c>
      <c r="J81" s="165"/>
      <c r="K81" s="165">
        <v>4.4</v>
      </c>
      <c r="L81" s="165">
        <f t="shared" si="21"/>
        <v>29.700000000000003</v>
      </c>
      <c r="M81" s="207">
        <f>F81/K81</f>
        <v>7.75</v>
      </c>
      <c r="N81" s="162">
        <f>E81-квітень!E81</f>
        <v>1</v>
      </c>
      <c r="O81" s="166">
        <f>F81-квітень!F81</f>
        <v>24.85</v>
      </c>
      <c r="P81" s="165">
        <f t="shared" si="22"/>
        <v>23.85</v>
      </c>
      <c r="Q81" s="165"/>
      <c r="R81" s="37">
        <v>1</v>
      </c>
      <c r="S81" s="37">
        <f t="shared" si="23"/>
        <v>23.85</v>
      </c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E82-квітень!E82</f>
        <v>0</v>
      </c>
      <c r="O82" s="166">
        <f>F82-квітень!F82</f>
        <v>0</v>
      </c>
      <c r="P82" s="165">
        <f t="shared" si="22"/>
        <v>0</v>
      </c>
      <c r="Q82" s="188"/>
      <c r="R82" s="40"/>
      <c r="S82" s="37">
        <f t="shared" si="23"/>
        <v>0</v>
      </c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4506.5</v>
      </c>
      <c r="F83" s="179">
        <v>5103.22</v>
      </c>
      <c r="G83" s="160">
        <f t="shared" si="19"/>
        <v>596.7200000000003</v>
      </c>
      <c r="H83" s="162">
        <f>F83/E83*100</f>
        <v>113.24131809608345</v>
      </c>
      <c r="I83" s="165">
        <f t="shared" si="20"/>
        <v>-3256.7799999999997</v>
      </c>
      <c r="J83" s="165">
        <f>F83/D83*100</f>
        <v>61.043301435406704</v>
      </c>
      <c r="K83" s="165">
        <v>4887.77</v>
      </c>
      <c r="L83" s="165">
        <f t="shared" si="21"/>
        <v>215.44999999999982</v>
      </c>
      <c r="M83" s="207"/>
      <c r="N83" s="162">
        <f>E83-квітень!E83</f>
        <v>2141.3</v>
      </c>
      <c r="O83" s="166">
        <f>F83-квітень!F83</f>
        <v>2871.6800000000003</v>
      </c>
      <c r="P83" s="165">
        <f>O83-N83</f>
        <v>730.3800000000001</v>
      </c>
      <c r="Q83" s="188">
        <f>O83/N83*100</f>
        <v>134.1091860084995</v>
      </c>
      <c r="R83" s="40">
        <v>2850</v>
      </c>
      <c r="S83" s="285">
        <f t="shared" si="23"/>
        <v>21.68000000000029</v>
      </c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0.69</v>
      </c>
      <c r="L84" s="165">
        <f t="shared" si="21"/>
        <v>-0.6399999999999999</v>
      </c>
      <c r="M84" s="207">
        <f aca="true" t="shared" si="24" ref="M84:M89">F84/K84</f>
        <v>0.07246376811594205</v>
      </c>
      <c r="N84" s="162">
        <f>E84-квітень!E84</f>
        <v>0</v>
      </c>
      <c r="O84" s="166">
        <f>F84-квітень!F84</f>
        <v>0.020000000000000004</v>
      </c>
      <c r="P84" s="165">
        <f t="shared" si="22"/>
        <v>0.020000000000000004</v>
      </c>
      <c r="Q84" s="165"/>
      <c r="R84" s="37">
        <v>0</v>
      </c>
      <c r="S84" s="37">
        <f t="shared" si="23"/>
        <v>0.020000000000000004</v>
      </c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4510</v>
      </c>
      <c r="F85" s="182">
        <f>F81+F84+F82+F83</f>
        <v>5137.37</v>
      </c>
      <c r="G85" s="181">
        <f>G81+G84+G82+G83</f>
        <v>627.3700000000002</v>
      </c>
      <c r="H85" s="184">
        <f>F85/E85*100</f>
        <v>113.91064301552105</v>
      </c>
      <c r="I85" s="185">
        <f t="shared" si="20"/>
        <v>-3262.63</v>
      </c>
      <c r="J85" s="185">
        <f>F85/D85*100</f>
        <v>61.159166666666664</v>
      </c>
      <c r="K85" s="185">
        <v>4892.86</v>
      </c>
      <c r="L85" s="185">
        <f t="shared" si="21"/>
        <v>244.51000000000022</v>
      </c>
      <c r="M85" s="218">
        <f t="shared" si="24"/>
        <v>1.0499728175341212</v>
      </c>
      <c r="N85" s="183">
        <f>N81+N84+N82+N83</f>
        <v>2142.3</v>
      </c>
      <c r="O85" s="187">
        <f>O81+O84+O82+O83</f>
        <v>2896.55</v>
      </c>
      <c r="P85" s="183">
        <f>P81+P84+P82+P83</f>
        <v>754.2500000000001</v>
      </c>
      <c r="Q85" s="185">
        <f>O85/N85*100</f>
        <v>135.20748728002613</v>
      </c>
      <c r="R85" s="38">
        <f>SUM(R81:R84)</f>
        <v>2851</v>
      </c>
      <c r="S85" s="38">
        <f t="shared" si="23"/>
        <v>45.55000000000018</v>
      </c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15.3</v>
      </c>
      <c r="F86" s="179">
        <v>7.74</v>
      </c>
      <c r="G86" s="160">
        <f t="shared" si="19"/>
        <v>-7.5600000000000005</v>
      </c>
      <c r="H86" s="162">
        <f>F86/E86*100</f>
        <v>50.588235294117645</v>
      </c>
      <c r="I86" s="165">
        <f t="shared" si="20"/>
        <v>-30.259999999999998</v>
      </c>
      <c r="J86" s="165">
        <f>F86/D86*100</f>
        <v>20.36842105263158</v>
      </c>
      <c r="K86" s="165">
        <v>9.19</v>
      </c>
      <c r="L86" s="165">
        <f t="shared" si="21"/>
        <v>-1.4499999999999993</v>
      </c>
      <c r="M86" s="207">
        <f t="shared" si="24"/>
        <v>0.8422198041349294</v>
      </c>
      <c r="N86" s="162">
        <f>E86-квітень!E86</f>
        <v>1.200000000000001</v>
      </c>
      <c r="O86" s="166">
        <f>F86-квітень!F86</f>
        <v>0.14000000000000057</v>
      </c>
      <c r="P86" s="165">
        <f t="shared" si="22"/>
        <v>-1.0600000000000005</v>
      </c>
      <c r="Q86" s="165">
        <f>O86/N86</f>
        <v>0.11666666666666704</v>
      </c>
      <c r="R86" s="37">
        <v>1.2</v>
      </c>
      <c r="S86" s="37">
        <f t="shared" si="23"/>
        <v>-1.0599999999999994</v>
      </c>
      <c r="T86" s="37"/>
      <c r="U86" s="96"/>
    </row>
    <row r="87" spans="2:21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33410.3</v>
      </c>
      <c r="F88" s="189">
        <f>F74+F75+F80+F85+F86</f>
        <v>10074.499999999998</v>
      </c>
      <c r="G88" s="190">
        <f>F88-E88</f>
        <v>-23335.800000000003</v>
      </c>
      <c r="H88" s="191">
        <f>F88/E88*100</f>
        <v>30.153874703310045</v>
      </c>
      <c r="I88" s="192">
        <f>F88-D88</f>
        <v>-235581.53</v>
      </c>
      <c r="J88" s="192">
        <f>F88/D88*100</f>
        <v>4.101059518058644</v>
      </c>
      <c r="K88" s="192">
        <v>15931.38</v>
      </c>
      <c r="L88" s="192">
        <f>F88-K88</f>
        <v>-5856.880000000001</v>
      </c>
      <c r="M88" s="219">
        <f t="shared" si="24"/>
        <v>0.6323683196308166</v>
      </c>
      <c r="N88" s="189">
        <f>N74+N75+N80+N85+N86</f>
        <v>14094.5</v>
      </c>
      <c r="O88" s="189">
        <f>O74+O75+O80+O85+O86</f>
        <v>5661.010000000001</v>
      </c>
      <c r="P88" s="192">
        <f t="shared" si="22"/>
        <v>-8433.489999999998</v>
      </c>
      <c r="Q88" s="192">
        <f>O88/N88*100</f>
        <v>40.16467416368087</v>
      </c>
      <c r="R88" s="26">
        <f>R80+R85+R86+R87</f>
        <v>4553.2</v>
      </c>
      <c r="S88" s="26">
        <f>S80+S85+S86+S87</f>
        <v>1110.4500000000003</v>
      </c>
      <c r="T88" s="26"/>
      <c r="U88" s="94">
        <f>O88/8104.96</f>
        <v>0.6984624230101075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562917.6000000001</v>
      </c>
      <c r="F89" s="189">
        <f>F67+F88</f>
        <v>542542.67</v>
      </c>
      <c r="G89" s="190">
        <f>F89-E89</f>
        <v>-20374.93000000005</v>
      </c>
      <c r="H89" s="191">
        <f>F89/E89*100</f>
        <v>96.38047735583324</v>
      </c>
      <c r="I89" s="192">
        <f>F89-D89</f>
        <v>-1060604.46</v>
      </c>
      <c r="J89" s="192">
        <f>F89/D89*100</f>
        <v>33.84235045226323</v>
      </c>
      <c r="K89" s="192">
        <f>K67+K88</f>
        <v>413780.67</v>
      </c>
      <c r="L89" s="192">
        <f>F89-K89</f>
        <v>128762.00000000006</v>
      </c>
      <c r="M89" s="219">
        <f t="shared" si="24"/>
        <v>1.3111841836400915</v>
      </c>
      <c r="N89" s="190">
        <f>N67+N88</f>
        <v>126184.69999999998</v>
      </c>
      <c r="O89" s="190">
        <f>O67+O88</f>
        <v>118367.426</v>
      </c>
      <c r="P89" s="192">
        <f t="shared" si="22"/>
        <v>-7817.273999999976</v>
      </c>
      <c r="Q89" s="192">
        <f>O89/N89*100</f>
        <v>93.80489552219883</v>
      </c>
      <c r="R89" s="26">
        <f>R67+R88</f>
        <v>114467.2</v>
      </c>
      <c r="S89" s="26">
        <f>S67+S88</f>
        <v>3902.8660000000123</v>
      </c>
      <c r="T89" s="26"/>
      <c r="U89" s="94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0</v>
      </c>
      <c r="D91" s="4" t="s">
        <v>35</v>
      </c>
      <c r="O91" s="77"/>
      <c r="S91" s="28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17"/>
      <c r="H92" s="317"/>
      <c r="I92" s="317"/>
      <c r="J92" s="317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42886</v>
      </c>
      <c r="D93" s="28">
        <v>10184.67</v>
      </c>
      <c r="G93" s="4" t="s">
        <v>58</v>
      </c>
      <c r="O93" s="318"/>
      <c r="P93" s="318"/>
    </row>
    <row r="94" spans="3:16" ht="15">
      <c r="C94" s="80">
        <v>42885</v>
      </c>
      <c r="D94" s="28">
        <v>10664.9</v>
      </c>
      <c r="F94" s="112" t="s">
        <v>58</v>
      </c>
      <c r="G94" s="319"/>
      <c r="H94" s="319"/>
      <c r="I94" s="117"/>
      <c r="J94" s="320"/>
      <c r="K94" s="320"/>
      <c r="L94" s="320"/>
      <c r="M94" s="320"/>
      <c r="N94" s="320"/>
      <c r="O94" s="318"/>
      <c r="P94" s="318"/>
    </row>
    <row r="95" spans="3:16" ht="15.75" customHeight="1">
      <c r="C95" s="80">
        <v>42884</v>
      </c>
      <c r="D95" s="28">
        <v>6919.44</v>
      </c>
      <c r="F95" s="67"/>
      <c r="G95" s="319"/>
      <c r="H95" s="319"/>
      <c r="I95" s="117"/>
      <c r="J95" s="321"/>
      <c r="K95" s="321"/>
      <c r="L95" s="321"/>
      <c r="M95" s="321"/>
      <c r="N95" s="321"/>
      <c r="O95" s="318"/>
      <c r="P95" s="318"/>
    </row>
    <row r="96" spans="3:14" ht="15.75" customHeight="1">
      <c r="C96" s="80"/>
      <c r="F96" s="67"/>
      <c r="G96" s="325"/>
      <c r="H96" s="325"/>
      <c r="I96" s="123"/>
      <c r="J96" s="320"/>
      <c r="K96" s="320"/>
      <c r="L96" s="320"/>
      <c r="M96" s="320"/>
      <c r="N96" s="320"/>
    </row>
    <row r="97" spans="2:14" ht="18" customHeight="1">
      <c r="B97" s="326" t="s">
        <v>56</v>
      </c>
      <c r="C97" s="327"/>
      <c r="D97" s="132">
        <v>1135.71022</v>
      </c>
      <c r="E97" s="68"/>
      <c r="F97" s="124" t="s">
        <v>105</v>
      </c>
      <c r="G97" s="319"/>
      <c r="H97" s="319"/>
      <c r="I97" s="125"/>
      <c r="J97" s="320"/>
      <c r="K97" s="320"/>
      <c r="L97" s="320"/>
      <c r="M97" s="320"/>
      <c r="N97" s="320"/>
    </row>
    <row r="98" spans="6:13" ht="9.75" customHeight="1" hidden="1">
      <c r="F98" s="67"/>
      <c r="G98" s="319"/>
      <c r="H98" s="319"/>
      <c r="I98" s="67"/>
      <c r="J98" s="68"/>
      <c r="K98" s="68"/>
      <c r="L98" s="68"/>
      <c r="M98" s="68"/>
    </row>
    <row r="99" spans="2:13" ht="22.5" customHeight="1" hidden="1">
      <c r="B99" s="322" t="s">
        <v>59</v>
      </c>
      <c r="C99" s="323"/>
      <c r="D99" s="79">
        <v>0</v>
      </c>
      <c r="E99" s="50" t="s">
        <v>24</v>
      </c>
      <c r="F99" s="67"/>
      <c r="G99" s="319"/>
      <c r="H99" s="319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532</v>
      </c>
      <c r="F100" s="201">
        <f>F48+F51+F52</f>
        <v>733.8000000000001</v>
      </c>
      <c r="G100" s="67">
        <f>G48+G51+G52</f>
        <v>201.79999999999998</v>
      </c>
      <c r="H100" s="68"/>
      <c r="I100" s="68"/>
      <c r="N100" s="28">
        <f>N48+N51+N52</f>
        <v>88</v>
      </c>
      <c r="O100" s="200">
        <f>O48+O51+O52</f>
        <v>153.59999999999997</v>
      </c>
      <c r="P100" s="28">
        <f>P48+P51+P52</f>
        <v>65.59999999999997</v>
      </c>
    </row>
    <row r="101" spans="4:16" ht="15" hidden="1">
      <c r="D101" s="77"/>
      <c r="I101" s="28"/>
      <c r="O101" s="324"/>
      <c r="P101" s="324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504972.5</v>
      </c>
      <c r="F102" s="227">
        <f>F9+F15+F18+F19+F23+F42+F45+F65+F59</f>
        <v>507326.6600000001</v>
      </c>
      <c r="G102" s="28">
        <f>F102-E102</f>
        <v>2354.160000000091</v>
      </c>
      <c r="H102" s="228">
        <f>F102/E102</f>
        <v>1.004661956839234</v>
      </c>
      <c r="I102" s="28">
        <f>F102-D102</f>
        <v>-791721.94</v>
      </c>
      <c r="J102" s="228">
        <f>F102/D102</f>
        <v>0.39053708999032066</v>
      </c>
      <c r="N102" s="28">
        <f>N9+N15+N17+N18+N19+N23+N42+N45+N65+N59</f>
        <v>106907.39999999998</v>
      </c>
      <c r="O102" s="227">
        <f>O9+O15+O17+O18+O19+O23+O42+O45+O65+O59</f>
        <v>107174.83200000002</v>
      </c>
      <c r="P102" s="28">
        <f>O102-N102</f>
        <v>267.43200000004435</v>
      </c>
      <c r="Q102" s="228">
        <f>O102/N102</f>
        <v>1.002501529360924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24534.8</v>
      </c>
      <c r="F103" s="227">
        <f>F43+F44+F46+F48+F50+F51+F52+F53+F54+F60+F64+F47+F66</f>
        <v>25140.669999999995</v>
      </c>
      <c r="G103" s="28">
        <f>G43+G44+G46+G48+G50+G51+G52+G53+G54+G60+G64+G47</f>
        <v>611.1200000000002</v>
      </c>
      <c r="H103" s="228">
        <f>F103/E103</f>
        <v>1.0246943117531015</v>
      </c>
      <c r="I103" s="28">
        <f>I43+I44+I46+I48+I50+I51+I52+I53+I54+I60+I64+I47</f>
        <v>-33296.58</v>
      </c>
      <c r="J103" s="228">
        <f>F103/D103</f>
        <v>0.43017786713436273</v>
      </c>
      <c r="K103" s="28">
        <f aca="true" t="shared" si="25" ref="K103:P103">K43+K44+K46+K48+K50+K51+K52+K53+K54+K60+K64+K47</f>
        <v>22597.689999999995</v>
      </c>
      <c r="L103" s="28">
        <f t="shared" si="25"/>
        <v>2548.230000000001</v>
      </c>
      <c r="M103" s="28">
        <f t="shared" si="25"/>
        <v>17.713084682263524</v>
      </c>
      <c r="N103" s="28">
        <f>N43+N44+N46+N48+N50+N51+N52+N53+N54+N60+N64+N47+N66</f>
        <v>5182.8</v>
      </c>
      <c r="O103" s="227">
        <f>O43+O44+O46+O48+O50+O51+O52+O53+O54+O60+O64+O47+O66</f>
        <v>5531.233999999999</v>
      </c>
      <c r="P103" s="28">
        <f t="shared" si="25"/>
        <v>348.43399999999957</v>
      </c>
      <c r="Q103" s="228">
        <f>O103/N103</f>
        <v>1.0672289110133515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529507.3</v>
      </c>
      <c r="F104" s="227">
        <f t="shared" si="26"/>
        <v>532467.3300000001</v>
      </c>
      <c r="G104" s="28">
        <f t="shared" si="26"/>
        <v>2965.280000000091</v>
      </c>
      <c r="H104" s="228">
        <f>F104/E104</f>
        <v>1.0055901590025293</v>
      </c>
      <c r="I104" s="28">
        <f t="shared" si="26"/>
        <v>-825018.5199999999</v>
      </c>
      <c r="J104" s="228">
        <f>F104/D104</f>
        <v>0.3922436986879693</v>
      </c>
      <c r="K104" s="28">
        <f t="shared" si="26"/>
        <v>22597.689999999995</v>
      </c>
      <c r="L104" s="28">
        <f t="shared" si="26"/>
        <v>2548.230000000001</v>
      </c>
      <c r="M104" s="28">
        <f t="shared" si="26"/>
        <v>17.713084682263524</v>
      </c>
      <c r="N104" s="28">
        <f t="shared" si="26"/>
        <v>112090.19999999998</v>
      </c>
      <c r="O104" s="227">
        <f t="shared" si="26"/>
        <v>112706.06600000002</v>
      </c>
      <c r="P104" s="28">
        <f t="shared" si="26"/>
        <v>615.8660000000439</v>
      </c>
      <c r="Q104" s="228">
        <f>O104/N104</f>
        <v>1.0054943786343502</v>
      </c>
    </row>
    <row r="105" spans="4:21" ht="15" hidden="1">
      <c r="D105" s="28">
        <f>D67-D104</f>
        <v>0</v>
      </c>
      <c r="E105" s="28">
        <f aca="true" t="shared" si="27" ref="E105:U105">E67-E104</f>
        <v>0</v>
      </c>
      <c r="F105" s="28">
        <f t="shared" si="27"/>
        <v>0.8399999999674037</v>
      </c>
      <c r="G105" s="28">
        <f t="shared" si="27"/>
        <v>-4.410000000095806</v>
      </c>
      <c r="H105" s="228"/>
      <c r="I105" s="28">
        <f t="shared" si="27"/>
        <v>-4.410000000149012</v>
      </c>
      <c r="J105" s="228"/>
      <c r="K105" s="28">
        <f t="shared" si="27"/>
        <v>375251.6</v>
      </c>
      <c r="L105" s="28">
        <f t="shared" si="27"/>
        <v>132070.65000000005</v>
      </c>
      <c r="M105" s="28">
        <f t="shared" si="27"/>
        <v>-16.37471816161446</v>
      </c>
      <c r="N105" s="28">
        <f t="shared" si="27"/>
        <v>0</v>
      </c>
      <c r="O105" s="28">
        <f t="shared" si="27"/>
        <v>0.34999999999126885</v>
      </c>
      <c r="P105" s="28">
        <f t="shared" si="27"/>
        <v>0.3499999999855845</v>
      </c>
      <c r="Q105" s="28"/>
      <c r="R105" s="28">
        <f t="shared" si="27"/>
        <v>109914</v>
      </c>
      <c r="S105" s="28"/>
      <c r="T105" s="28"/>
      <c r="U105" s="28">
        <f t="shared" si="27"/>
        <v>3.241670961803958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53716.60000000005</v>
      </c>
    </row>
    <row r="108" spans="2:5" ht="15" hidden="1">
      <c r="B108" s="242" t="s">
        <v>153</v>
      </c>
      <c r="E108" s="28">
        <f>E88-E83-E76-E77</f>
        <v>12373.800000000003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51512.36</v>
      </c>
      <c r="F111" s="189">
        <f>F88+F110</f>
        <v>30328.82</v>
      </c>
      <c r="G111" s="190">
        <f>F111-E111</f>
        <v>-21183.54</v>
      </c>
      <c r="H111" s="191">
        <f>F111/E111*100</f>
        <v>58.87678219363275</v>
      </c>
      <c r="I111" s="192">
        <f>F111-D111</f>
        <v>-287735.43</v>
      </c>
      <c r="J111" s="192">
        <f>F111/D111*100</f>
        <v>9.535438201558332</v>
      </c>
      <c r="K111" s="192">
        <v>3039.87</v>
      </c>
      <c r="L111" s="192">
        <f>F111-K111</f>
        <v>27288.95</v>
      </c>
      <c r="M111" s="266">
        <f>F111/K111</f>
        <v>9.977012174862741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581019.66</v>
      </c>
      <c r="F112" s="189">
        <f>F111+F67</f>
        <v>562796.99</v>
      </c>
      <c r="G112" s="190">
        <f>F112-E112</f>
        <v>-18222.670000000042</v>
      </c>
      <c r="H112" s="191">
        <f>F112/E112*100</f>
        <v>96.86367411388453</v>
      </c>
      <c r="I112" s="192">
        <f>F112-D112</f>
        <v>-1112758.36</v>
      </c>
      <c r="J112" s="192">
        <f>F112/D112*100</f>
        <v>33.58868389516347</v>
      </c>
      <c r="K112" s="192">
        <f>K89+K111</f>
        <v>416820.54</v>
      </c>
      <c r="L112" s="192">
        <f>F112-K112</f>
        <v>145976.45</v>
      </c>
      <c r="M112" s="266">
        <f>F112/K112</f>
        <v>1.3502141473162528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1131675.26</v>
      </c>
      <c r="F124" s="274">
        <f>F112+F113</f>
        <v>1108626.0699999998</v>
      </c>
      <c r="G124" s="275">
        <f t="shared" si="29"/>
        <v>-23049.190000000177</v>
      </c>
      <c r="H124" s="274">
        <f t="shared" si="31"/>
        <v>97.96326819055847</v>
      </c>
      <c r="I124" s="276">
        <f t="shared" si="30"/>
        <v>-1789797.9700000002</v>
      </c>
      <c r="J124" s="276">
        <f t="shared" si="32"/>
        <v>38.24927114529452</v>
      </c>
      <c r="Q124" s="240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6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88" t="s">
        <v>183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85"/>
      <c r="S1" s="85"/>
      <c r="T1" s="85"/>
      <c r="U1" s="86"/>
    </row>
    <row r="2" spans="2:21" s="1" customFormat="1" ht="15.75" customHeight="1">
      <c r="B2" s="289"/>
      <c r="C2" s="289"/>
      <c r="D2" s="289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90"/>
      <c r="B3" s="292"/>
      <c r="C3" s="293" t="s">
        <v>0</v>
      </c>
      <c r="D3" s="294" t="s">
        <v>137</v>
      </c>
      <c r="E3" s="31"/>
      <c r="F3" s="295" t="s">
        <v>26</v>
      </c>
      <c r="G3" s="296"/>
      <c r="H3" s="296"/>
      <c r="I3" s="296"/>
      <c r="J3" s="297"/>
      <c r="K3" s="82"/>
      <c r="L3" s="82"/>
      <c r="M3" s="82"/>
      <c r="N3" s="298" t="s">
        <v>178</v>
      </c>
      <c r="O3" s="301" t="s">
        <v>177</v>
      </c>
      <c r="P3" s="301"/>
      <c r="Q3" s="301"/>
      <c r="R3" s="301"/>
      <c r="S3" s="301"/>
      <c r="T3" s="301"/>
      <c r="U3" s="301"/>
    </row>
    <row r="4" spans="1:21" ht="22.5" customHeight="1">
      <c r="A4" s="290"/>
      <c r="B4" s="292"/>
      <c r="C4" s="293"/>
      <c r="D4" s="294"/>
      <c r="E4" s="302" t="s">
        <v>174</v>
      </c>
      <c r="F4" s="304" t="s">
        <v>33</v>
      </c>
      <c r="G4" s="306" t="s">
        <v>175</v>
      </c>
      <c r="H4" s="299" t="s">
        <v>176</v>
      </c>
      <c r="I4" s="306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8" t="s">
        <v>184</v>
      </c>
      <c r="P4" s="306" t="s">
        <v>49</v>
      </c>
      <c r="Q4" s="310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91"/>
      <c r="B5" s="292"/>
      <c r="C5" s="293"/>
      <c r="D5" s="294"/>
      <c r="E5" s="303"/>
      <c r="F5" s="305"/>
      <c r="G5" s="307"/>
      <c r="H5" s="300"/>
      <c r="I5" s="307"/>
      <c r="J5" s="300"/>
      <c r="K5" s="311" t="s">
        <v>179</v>
      </c>
      <c r="L5" s="312"/>
      <c r="M5" s="313"/>
      <c r="N5" s="300"/>
      <c r="O5" s="309"/>
      <c r="P5" s="307"/>
      <c r="Q5" s="310"/>
      <c r="R5" s="314" t="s">
        <v>180</v>
      </c>
      <c r="S5" s="315"/>
      <c r="T5" s="316" t="s">
        <v>181</v>
      </c>
      <c r="U5" s="316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397977.5</v>
      </c>
      <c r="F8" s="284">
        <f>F9+F15+F18+F19+F23+F40</f>
        <v>400312.256</v>
      </c>
      <c r="G8" s="149">
        <f aca="true" t="shared" si="0" ref="G8:G40">F8-E8</f>
        <v>2334.755999999994</v>
      </c>
      <c r="H8" s="150">
        <f>F8/E8*100</f>
        <v>100.58665527573795</v>
      </c>
      <c r="I8" s="151">
        <f>F8-D8</f>
        <v>-898138.844</v>
      </c>
      <c r="J8" s="151">
        <f>F8/D8*100</f>
        <v>30.829983200753574</v>
      </c>
      <c r="K8" s="149">
        <v>294130.62</v>
      </c>
      <c r="L8" s="149">
        <f aca="true" t="shared" si="1" ref="L8:L54">F8-K8</f>
        <v>106181.636</v>
      </c>
      <c r="M8" s="203">
        <f aca="true" t="shared" si="2" ref="M8:M31">F8/K8</f>
        <v>1.361001639339692</v>
      </c>
      <c r="N8" s="149">
        <f>N9+N15+N18+N19+N23+N17</f>
        <v>105438</v>
      </c>
      <c r="O8" s="149">
        <f>O9+O15+O18+O19+O23+O17</f>
        <v>106766.43600000002</v>
      </c>
      <c r="P8" s="149">
        <f>O8-N8</f>
        <v>1328.436000000016</v>
      </c>
      <c r="Q8" s="149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223096.102</v>
      </c>
      <c r="G9" s="148">
        <f t="shared" si="0"/>
        <v>2236.1020000000135</v>
      </c>
      <c r="H9" s="155">
        <f>F9/E9*100</f>
        <v>101.01245223218329</v>
      </c>
      <c r="I9" s="156">
        <f>F9-D9</f>
        <v>-543548.898</v>
      </c>
      <c r="J9" s="156">
        <f>F9/D9*100</f>
        <v>29.100313965394676</v>
      </c>
      <c r="K9" s="225">
        <v>158037.8</v>
      </c>
      <c r="L9" s="157">
        <f t="shared" si="1"/>
        <v>65058.302000000025</v>
      </c>
      <c r="M9" s="204">
        <f t="shared" si="2"/>
        <v>1.4116629186182041</v>
      </c>
      <c r="N9" s="155">
        <f>E9-березень!E9</f>
        <v>59000</v>
      </c>
      <c r="O9" s="158">
        <f>F9-березень!F9</f>
        <v>60908.74200000003</v>
      </c>
      <c r="P9" s="159">
        <f>O9-N9</f>
        <v>1908.7420000000275</v>
      </c>
      <c r="Q9" s="156">
        <f>O9/N9*100</f>
        <v>103.23515593220343</v>
      </c>
      <c r="R9" s="99">
        <v>61380</v>
      </c>
      <c r="S9" s="99">
        <f>O9-R9</f>
        <v>-471.2579999999725</v>
      </c>
      <c r="T9" s="99">
        <f>березень!F9+квітень!R9</f>
        <v>223567.36</v>
      </c>
      <c r="U9" s="99">
        <f>F9-T9</f>
        <v>-471.2579999999725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204365.86</v>
      </c>
      <c r="G10" s="102">
        <f t="shared" si="0"/>
        <v>4229.859999999986</v>
      </c>
      <c r="H10" s="29">
        <f aca="true" t="shared" si="3" ref="H10:H39">F10/E10*100</f>
        <v>102.11349282487907</v>
      </c>
      <c r="I10" s="103">
        <f aca="true" t="shared" si="4" ref="I10:I40">F10-D10</f>
        <v>-496951.14</v>
      </c>
      <c r="J10" s="103">
        <f aca="true" t="shared" si="5" ref="J10:J39">F10/D10*100</f>
        <v>29.14029746890493</v>
      </c>
      <c r="K10" s="105">
        <v>137815.99</v>
      </c>
      <c r="L10" s="105">
        <f t="shared" si="1"/>
        <v>66549.87</v>
      </c>
      <c r="M10" s="205">
        <f t="shared" si="2"/>
        <v>1.4828893222041941</v>
      </c>
      <c r="N10" s="104">
        <f>E10-березень!E10</f>
        <v>53624</v>
      </c>
      <c r="O10" s="142">
        <f>F10-березень!F10</f>
        <v>56050.48999999999</v>
      </c>
      <c r="P10" s="105">
        <f aca="true" t="shared" si="6" ref="P10:P40">O10-N10</f>
        <v>2426.4899999999907</v>
      </c>
      <c r="Q10" s="103">
        <f aca="true" t="shared" si="7" ref="Q10:Q27">O10/N10*100</f>
        <v>104.52500745934654</v>
      </c>
      <c r="R10" s="36"/>
      <c r="S10" s="99">
        <f aca="true" t="shared" si="8" ref="S10:S35">O10-R10</f>
        <v>56050.48999999999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12429.15</v>
      </c>
      <c r="G11" s="102">
        <f t="shared" si="0"/>
        <v>-2270.8500000000004</v>
      </c>
      <c r="H11" s="29">
        <f t="shared" si="3"/>
        <v>84.55204081632652</v>
      </c>
      <c r="I11" s="103">
        <f t="shared" si="4"/>
        <v>-34076.85</v>
      </c>
      <c r="J11" s="103">
        <f t="shared" si="5"/>
        <v>26.725906334666494</v>
      </c>
      <c r="K11" s="105">
        <v>11487.54</v>
      </c>
      <c r="L11" s="105">
        <f t="shared" si="1"/>
        <v>941.6099999999988</v>
      </c>
      <c r="M11" s="205">
        <f t="shared" si="2"/>
        <v>1.081967940916854</v>
      </c>
      <c r="N11" s="104">
        <f>E11-березень!E11</f>
        <v>3900</v>
      </c>
      <c r="O11" s="142">
        <f>F11-березень!F11</f>
        <v>3324.67</v>
      </c>
      <c r="P11" s="105">
        <f t="shared" si="6"/>
        <v>-575.3299999999999</v>
      </c>
      <c r="Q11" s="103">
        <f t="shared" si="7"/>
        <v>85.24794871794872</v>
      </c>
      <c r="R11" s="36"/>
      <c r="S11" s="99">
        <f t="shared" si="8"/>
        <v>3324.67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2609.59</v>
      </c>
      <c r="G12" s="102">
        <f t="shared" si="0"/>
        <v>269.59000000000015</v>
      </c>
      <c r="H12" s="29">
        <f t="shared" si="3"/>
        <v>111.52094017094018</v>
      </c>
      <c r="I12" s="103">
        <f t="shared" si="4"/>
        <v>-5670.41</v>
      </c>
      <c r="J12" s="103">
        <f t="shared" si="5"/>
        <v>31.51678743961353</v>
      </c>
      <c r="K12" s="105">
        <v>4096.43</v>
      </c>
      <c r="L12" s="105">
        <f t="shared" si="1"/>
        <v>-1486.8400000000001</v>
      </c>
      <c r="M12" s="205">
        <f t="shared" si="2"/>
        <v>0.6370400568299714</v>
      </c>
      <c r="N12" s="104">
        <f>E12-березень!E12</f>
        <v>600</v>
      </c>
      <c r="O12" s="142">
        <f>F12-березень!F12</f>
        <v>844.9000000000001</v>
      </c>
      <c r="P12" s="105">
        <f t="shared" si="6"/>
        <v>244.9000000000001</v>
      </c>
      <c r="Q12" s="103">
        <f t="shared" si="7"/>
        <v>140.8166666666667</v>
      </c>
      <c r="R12" s="36"/>
      <c r="S12" s="99">
        <f t="shared" si="8"/>
        <v>844.9000000000001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3209.33</v>
      </c>
      <c r="G13" s="102">
        <f t="shared" si="0"/>
        <v>-90.67000000000007</v>
      </c>
      <c r="H13" s="29">
        <f t="shared" si="3"/>
        <v>97.25242424242424</v>
      </c>
      <c r="I13" s="103">
        <f t="shared" si="4"/>
        <v>-6180.67</v>
      </c>
      <c r="J13" s="103">
        <f t="shared" si="5"/>
        <v>34.17816826411075</v>
      </c>
      <c r="K13" s="105">
        <v>3211.48</v>
      </c>
      <c r="L13" s="105">
        <f t="shared" si="1"/>
        <v>-2.150000000000091</v>
      </c>
      <c r="M13" s="205">
        <f t="shared" si="2"/>
        <v>0.999330526735337</v>
      </c>
      <c r="N13" s="104">
        <f>E13-березень!E13</f>
        <v>780</v>
      </c>
      <c r="O13" s="142">
        <f>F13-березень!F13</f>
        <v>580.1700000000001</v>
      </c>
      <c r="P13" s="105">
        <f t="shared" si="6"/>
        <v>-199.82999999999993</v>
      </c>
      <c r="Q13" s="103">
        <f t="shared" si="7"/>
        <v>74.38076923076923</v>
      </c>
      <c r="R13" s="36"/>
      <c r="S13" s="99">
        <f t="shared" si="8"/>
        <v>580.1700000000001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-316.36</v>
      </c>
      <c r="G15" s="148">
        <f t="shared" si="0"/>
        <v>-487.36</v>
      </c>
      <c r="H15" s="155">
        <f>F15/E15*100</f>
        <v>-185.00584795321637</v>
      </c>
      <c r="I15" s="156">
        <f t="shared" si="4"/>
        <v>-867.36</v>
      </c>
      <c r="J15" s="156">
        <f>F15/D15*100</f>
        <v>-57.415607985480946</v>
      </c>
      <c r="K15" s="159">
        <v>185.84</v>
      </c>
      <c r="L15" s="159">
        <f t="shared" si="1"/>
        <v>-502.20000000000005</v>
      </c>
      <c r="M15" s="206">
        <f t="shared" si="2"/>
        <v>-1.7023245802841154</v>
      </c>
      <c r="N15" s="162">
        <f>E15-березень!E15</f>
        <v>0</v>
      </c>
      <c r="O15" s="166">
        <f>F15-березень!F15</f>
        <v>50.06</v>
      </c>
      <c r="P15" s="159">
        <f t="shared" si="6"/>
        <v>50.06</v>
      </c>
      <c r="Q15" s="156"/>
      <c r="R15" s="36">
        <v>46</v>
      </c>
      <c r="S15" s="99">
        <f t="shared" si="8"/>
        <v>4.060000000000002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37900</v>
      </c>
      <c r="F19" s="154">
        <v>36104.764</v>
      </c>
      <c r="G19" s="160">
        <f t="shared" si="0"/>
        <v>-1795.2359999999971</v>
      </c>
      <c r="H19" s="162">
        <f t="shared" si="3"/>
        <v>95.26322955145119</v>
      </c>
      <c r="I19" s="163">
        <f t="shared" si="4"/>
        <v>-93895.236</v>
      </c>
      <c r="J19" s="163">
        <f t="shared" si="5"/>
        <v>27.77289538461539</v>
      </c>
      <c r="K19" s="159">
        <v>26018.63</v>
      </c>
      <c r="L19" s="165">
        <f t="shared" si="1"/>
        <v>10086.134000000002</v>
      </c>
      <c r="M19" s="211">
        <f t="shared" si="2"/>
        <v>1.3876504643019252</v>
      </c>
      <c r="N19" s="162">
        <f>E19-березень!E19</f>
        <v>10100</v>
      </c>
      <c r="O19" s="166">
        <f>F19-березень!F19</f>
        <v>8470.904000000002</v>
      </c>
      <c r="P19" s="165">
        <f t="shared" si="6"/>
        <v>-1629.0959999999977</v>
      </c>
      <c r="Q19" s="163">
        <f t="shared" si="7"/>
        <v>83.87033663366338</v>
      </c>
      <c r="R19" s="36">
        <v>8000</v>
      </c>
      <c r="S19" s="99">
        <f t="shared" si="8"/>
        <v>470.90400000000227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23900</v>
      </c>
      <c r="F20" s="199">
        <v>21979.58</v>
      </c>
      <c r="G20" s="250">
        <f t="shared" si="0"/>
        <v>-1920.4199999999983</v>
      </c>
      <c r="H20" s="193">
        <f t="shared" si="3"/>
        <v>91.96476987447699</v>
      </c>
      <c r="I20" s="251">
        <f t="shared" si="4"/>
        <v>-54520.42</v>
      </c>
      <c r="J20" s="251">
        <f t="shared" si="5"/>
        <v>28.73147712418301</v>
      </c>
      <c r="K20" s="252">
        <v>26018.6</v>
      </c>
      <c r="L20" s="164">
        <f t="shared" si="1"/>
        <v>-4039.019999999997</v>
      </c>
      <c r="M20" s="253">
        <f t="shared" si="2"/>
        <v>0.8447641302760334</v>
      </c>
      <c r="N20" s="193">
        <f>E20-березень!E20</f>
        <v>-3900</v>
      </c>
      <c r="O20" s="177">
        <f>F20-березень!F20</f>
        <v>4245.52</v>
      </c>
      <c r="P20" s="164">
        <f t="shared" si="6"/>
        <v>8145.52</v>
      </c>
      <c r="Q20" s="251">
        <f t="shared" si="7"/>
        <v>-108.85948717948719</v>
      </c>
      <c r="R20" s="106">
        <v>4300</v>
      </c>
      <c r="S20" s="99">
        <f t="shared" si="8"/>
        <v>-54.47999999999956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3000</v>
      </c>
      <c r="F21" s="199">
        <v>3118.94</v>
      </c>
      <c r="G21" s="250">
        <f t="shared" si="0"/>
        <v>118.94000000000005</v>
      </c>
      <c r="H21" s="193"/>
      <c r="I21" s="251">
        <f t="shared" si="4"/>
        <v>-7581.0599999999995</v>
      </c>
      <c r="J21" s="251">
        <f t="shared" si="5"/>
        <v>29.14897196261682</v>
      </c>
      <c r="K21" s="252">
        <v>0</v>
      </c>
      <c r="L21" s="164">
        <f t="shared" si="1"/>
        <v>3118.94</v>
      </c>
      <c r="M21" s="253"/>
      <c r="N21" s="193">
        <f>E21-березень!E21</f>
        <v>3000</v>
      </c>
      <c r="O21" s="177">
        <f>F21-березень!F21</f>
        <v>882.1500000000001</v>
      </c>
      <c r="P21" s="164">
        <f t="shared" si="6"/>
        <v>-2117.85</v>
      </c>
      <c r="Q21" s="251"/>
      <c r="R21" s="106">
        <v>700</v>
      </c>
      <c r="S21" s="99">
        <f t="shared" si="8"/>
        <v>182.1500000000001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11000</v>
      </c>
      <c r="F22" s="199">
        <v>11006.24</v>
      </c>
      <c r="G22" s="250">
        <f t="shared" si="0"/>
        <v>6.239999999999782</v>
      </c>
      <c r="H22" s="193"/>
      <c r="I22" s="251">
        <f t="shared" si="4"/>
        <v>-31793.760000000002</v>
      </c>
      <c r="J22" s="251">
        <f t="shared" si="5"/>
        <v>25.715514018691586</v>
      </c>
      <c r="K22" s="252">
        <v>0</v>
      </c>
      <c r="L22" s="164">
        <f t="shared" si="1"/>
        <v>11006.24</v>
      </c>
      <c r="M22" s="253"/>
      <c r="N22" s="193">
        <f>E22-березень!E22</f>
        <v>11000</v>
      </c>
      <c r="O22" s="177">
        <f>F22-березень!F22</f>
        <v>3343.2299999999996</v>
      </c>
      <c r="P22" s="164">
        <f t="shared" si="6"/>
        <v>-7656.77</v>
      </c>
      <c r="Q22" s="251"/>
      <c r="R22" s="106">
        <v>3000</v>
      </c>
      <c r="S22" s="99">
        <f t="shared" si="8"/>
        <v>343.22999999999956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141309.28999999998</v>
      </c>
      <c r="G23" s="148">
        <f t="shared" si="0"/>
        <v>2332.789999999979</v>
      </c>
      <c r="H23" s="155">
        <f t="shared" si="3"/>
        <v>101.67854997067849</v>
      </c>
      <c r="I23" s="156">
        <f t="shared" si="4"/>
        <v>-259820.81</v>
      </c>
      <c r="J23" s="156">
        <f t="shared" si="5"/>
        <v>35.22779517169118</v>
      </c>
      <c r="K23" s="156">
        <v>109782.5</v>
      </c>
      <c r="L23" s="159">
        <f t="shared" si="1"/>
        <v>31526.78999999998</v>
      </c>
      <c r="M23" s="207">
        <f t="shared" si="2"/>
        <v>1.2871750051237674</v>
      </c>
      <c r="N23" s="155">
        <f>E23-березень!E23</f>
        <v>36338</v>
      </c>
      <c r="O23" s="158">
        <f>F23-березень!F23</f>
        <v>37336.72999999998</v>
      </c>
      <c r="P23" s="159">
        <f t="shared" si="6"/>
        <v>998.7299999999814</v>
      </c>
      <c r="Q23" s="156">
        <f t="shared" si="7"/>
        <v>102.74844515383342</v>
      </c>
      <c r="R23" s="280">
        <f>R24+R32+R33+R34+R35</f>
        <v>35614</v>
      </c>
      <c r="S23" s="99">
        <f t="shared" si="8"/>
        <v>1722.7299999999814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67676.99</v>
      </c>
      <c r="G24" s="148">
        <f t="shared" si="0"/>
        <v>333.1900000000023</v>
      </c>
      <c r="H24" s="155">
        <f t="shared" si="3"/>
        <v>100.49475972546841</v>
      </c>
      <c r="I24" s="156">
        <f t="shared" si="4"/>
        <v>-138944.01</v>
      </c>
      <c r="J24" s="156">
        <f t="shared" si="5"/>
        <v>32.754168259760625</v>
      </c>
      <c r="K24" s="156">
        <v>58036.24</v>
      </c>
      <c r="L24" s="159">
        <f t="shared" si="1"/>
        <v>9640.750000000007</v>
      </c>
      <c r="M24" s="207">
        <f t="shared" si="2"/>
        <v>1.1661160337058363</v>
      </c>
      <c r="N24" s="155">
        <f>E24-березень!E24</f>
        <v>19503</v>
      </c>
      <c r="O24" s="158">
        <f>F24-березень!F24</f>
        <v>19113.630000000005</v>
      </c>
      <c r="P24" s="159">
        <f t="shared" si="6"/>
        <v>-389.36999999999534</v>
      </c>
      <c r="Q24" s="156">
        <f t="shared" si="7"/>
        <v>98.00353791724352</v>
      </c>
      <c r="R24" s="106">
        <f>R25+R28+R29</f>
        <v>18772</v>
      </c>
      <c r="S24" s="99">
        <f t="shared" si="8"/>
        <v>341.63000000000466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9746.31</v>
      </c>
      <c r="G25" s="169">
        <f t="shared" si="0"/>
        <v>416.3099999999995</v>
      </c>
      <c r="H25" s="171">
        <f t="shared" si="3"/>
        <v>104.4620578778135</v>
      </c>
      <c r="I25" s="172">
        <f t="shared" si="4"/>
        <v>-13062.69</v>
      </c>
      <c r="J25" s="172">
        <f t="shared" si="5"/>
        <v>42.73010653689333</v>
      </c>
      <c r="K25" s="173">
        <v>8413.21</v>
      </c>
      <c r="L25" s="164">
        <f t="shared" si="1"/>
        <v>1333.1000000000004</v>
      </c>
      <c r="M25" s="213">
        <f t="shared" si="2"/>
        <v>1.1584531944406475</v>
      </c>
      <c r="N25" s="193">
        <f>E25-березень!E25</f>
        <v>4380</v>
      </c>
      <c r="O25" s="177">
        <f>F25-березень!F25</f>
        <v>4532.37</v>
      </c>
      <c r="P25" s="175">
        <f t="shared" si="6"/>
        <v>152.3699999999999</v>
      </c>
      <c r="Q25" s="172">
        <f t="shared" si="7"/>
        <v>103.47876712328767</v>
      </c>
      <c r="R25" s="106">
        <v>3710</v>
      </c>
      <c r="S25" s="99">
        <f t="shared" si="8"/>
        <v>822.3699999999999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200.24</v>
      </c>
      <c r="G26" s="196">
        <f t="shared" si="0"/>
        <v>-349.76</v>
      </c>
      <c r="H26" s="197">
        <f t="shared" si="3"/>
        <v>36.407272727272726</v>
      </c>
      <c r="I26" s="198">
        <f t="shared" si="4"/>
        <v>-1622.06</v>
      </c>
      <c r="J26" s="198">
        <f t="shared" si="5"/>
        <v>10.988311474510235</v>
      </c>
      <c r="K26" s="198">
        <v>252.55</v>
      </c>
      <c r="L26" s="198">
        <f t="shared" si="1"/>
        <v>-52.31</v>
      </c>
      <c r="M26" s="226">
        <f t="shared" si="2"/>
        <v>0.7928726984755494</v>
      </c>
      <c r="N26" s="234">
        <f>E26-березень!E26</f>
        <v>300</v>
      </c>
      <c r="O26" s="234">
        <f>F26-березень!F26</f>
        <v>43.170000000000016</v>
      </c>
      <c r="P26" s="198">
        <f t="shared" si="6"/>
        <v>-256.83</v>
      </c>
      <c r="Q26" s="198">
        <f t="shared" si="7"/>
        <v>14.390000000000006</v>
      </c>
      <c r="R26" s="106"/>
      <c r="S26" s="99">
        <f t="shared" si="8"/>
        <v>43.170000000000016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9546.07</v>
      </c>
      <c r="G27" s="196">
        <f t="shared" si="0"/>
        <v>766.0699999999997</v>
      </c>
      <c r="H27" s="197">
        <f t="shared" si="3"/>
        <v>108.72517084282461</v>
      </c>
      <c r="I27" s="198">
        <f t="shared" si="4"/>
        <v>-11440.630000000001</v>
      </c>
      <c r="J27" s="198">
        <f t="shared" si="5"/>
        <v>45.48628417045081</v>
      </c>
      <c r="K27" s="198">
        <v>8160.66</v>
      </c>
      <c r="L27" s="198">
        <f t="shared" si="1"/>
        <v>1385.4099999999999</v>
      </c>
      <c r="M27" s="226">
        <f t="shared" si="2"/>
        <v>1.1697669061080844</v>
      </c>
      <c r="N27" s="234">
        <f>E27-березень!E27</f>
        <v>4080</v>
      </c>
      <c r="O27" s="234">
        <f>F27-березень!F27</f>
        <v>4489.2</v>
      </c>
      <c r="P27" s="198">
        <f t="shared" si="6"/>
        <v>409.1999999999998</v>
      </c>
      <c r="Q27" s="198">
        <f t="shared" si="7"/>
        <v>110.02941176470588</v>
      </c>
      <c r="R27" s="106"/>
      <c r="S27" s="99">
        <f t="shared" si="8"/>
        <v>4489.2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104.52</v>
      </c>
      <c r="G28" s="169">
        <f t="shared" si="0"/>
        <v>-19.28</v>
      </c>
      <c r="H28" s="171">
        <f t="shared" si="3"/>
        <v>84.42649434571891</v>
      </c>
      <c r="I28" s="172">
        <f t="shared" si="4"/>
        <v>-715.48</v>
      </c>
      <c r="J28" s="172">
        <f t="shared" si="5"/>
        <v>12.746341463414634</v>
      </c>
      <c r="K28" s="172">
        <v>386.58</v>
      </c>
      <c r="L28" s="172">
        <f t="shared" si="1"/>
        <v>-282.06</v>
      </c>
      <c r="M28" s="210">
        <f t="shared" si="2"/>
        <v>0.27037094521185784</v>
      </c>
      <c r="N28" s="193">
        <f>E28-березень!E28</f>
        <v>68</v>
      </c>
      <c r="O28" s="177">
        <f>F28-березень!F28</f>
        <v>73.27</v>
      </c>
      <c r="P28" s="175">
        <f t="shared" si="6"/>
        <v>5.269999999999996</v>
      </c>
      <c r="Q28" s="172">
        <f>O28/N28*100</f>
        <v>107.74999999999999</v>
      </c>
      <c r="R28" s="106">
        <v>7</v>
      </c>
      <c r="S28" s="99">
        <f t="shared" si="8"/>
        <v>66.27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57826.16</v>
      </c>
      <c r="G29" s="169">
        <f t="shared" si="0"/>
        <v>-63.83999999999651</v>
      </c>
      <c r="H29" s="171">
        <f t="shared" si="3"/>
        <v>99.88972188633616</v>
      </c>
      <c r="I29" s="172">
        <f t="shared" si="4"/>
        <v>-125165.84</v>
      </c>
      <c r="J29" s="172">
        <f t="shared" si="5"/>
        <v>31.60037597272012</v>
      </c>
      <c r="K29" s="173">
        <v>49236.46</v>
      </c>
      <c r="L29" s="173">
        <f t="shared" si="1"/>
        <v>8589.700000000004</v>
      </c>
      <c r="M29" s="209">
        <f t="shared" si="2"/>
        <v>1.1744581149822713</v>
      </c>
      <c r="N29" s="193">
        <f>E29-березень!E29</f>
        <v>15055</v>
      </c>
      <c r="O29" s="177">
        <f>F29-березень!F29</f>
        <v>14507.990000000005</v>
      </c>
      <c r="P29" s="175">
        <f t="shared" si="6"/>
        <v>-547.0099999999948</v>
      </c>
      <c r="Q29" s="172">
        <f>O29/N29*100</f>
        <v>96.36658917303225</v>
      </c>
      <c r="R29" s="106">
        <v>15055</v>
      </c>
      <c r="S29" s="99">
        <f t="shared" si="8"/>
        <v>-547.0099999999948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19304.53</v>
      </c>
      <c r="G30" s="196">
        <f t="shared" si="0"/>
        <v>1874.5299999999988</v>
      </c>
      <c r="H30" s="197">
        <f t="shared" si="3"/>
        <v>110.75461847389559</v>
      </c>
      <c r="I30" s="198">
        <f t="shared" si="4"/>
        <v>-38228.47</v>
      </c>
      <c r="J30" s="198">
        <f t="shared" si="5"/>
        <v>33.55383866650444</v>
      </c>
      <c r="K30" s="198">
        <v>15205.9</v>
      </c>
      <c r="L30" s="198">
        <f t="shared" si="1"/>
        <v>4098.629999999999</v>
      </c>
      <c r="M30" s="226">
        <f t="shared" si="2"/>
        <v>1.2695420856378117</v>
      </c>
      <c r="N30" s="234">
        <f>E30-березень!E30</f>
        <v>4600</v>
      </c>
      <c r="O30" s="234">
        <f>F30-березень!F30</f>
        <v>4869.089999999998</v>
      </c>
      <c r="P30" s="198">
        <f t="shared" si="6"/>
        <v>269.0899999999983</v>
      </c>
      <c r="Q30" s="198">
        <f>O30/N30*100</f>
        <v>105.84978260869562</v>
      </c>
      <c r="R30" s="106"/>
      <c r="S30" s="99">
        <f t="shared" si="8"/>
        <v>4869.089999999998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38521.63</v>
      </c>
      <c r="G31" s="196">
        <f t="shared" si="0"/>
        <v>-1938.3700000000026</v>
      </c>
      <c r="H31" s="197">
        <f t="shared" si="3"/>
        <v>95.209169550173</v>
      </c>
      <c r="I31" s="198">
        <f t="shared" si="4"/>
        <v>-86937.37</v>
      </c>
      <c r="J31" s="198">
        <f t="shared" si="5"/>
        <v>30.704556867183697</v>
      </c>
      <c r="K31" s="198">
        <v>34030.56</v>
      </c>
      <c r="L31" s="198">
        <f t="shared" si="1"/>
        <v>4491.07</v>
      </c>
      <c r="M31" s="226">
        <f t="shared" si="2"/>
        <v>1.131971674871057</v>
      </c>
      <c r="N31" s="234">
        <f>E31-березень!E31</f>
        <v>10455</v>
      </c>
      <c r="O31" s="234">
        <f>F31-березень!F31</f>
        <v>9638.899999999998</v>
      </c>
      <c r="P31" s="198">
        <f t="shared" si="6"/>
        <v>-816.1000000000022</v>
      </c>
      <c r="Q31" s="198">
        <f>O31/N31*100</f>
        <v>92.19416547106646</v>
      </c>
      <c r="R31" s="106"/>
      <c r="S31" s="99">
        <f t="shared" si="8"/>
        <v>9638.899999999998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52.41</v>
      </c>
      <c r="G33" s="148">
        <f t="shared" si="0"/>
        <v>25.409999999999997</v>
      </c>
      <c r="H33" s="155">
        <f t="shared" si="3"/>
        <v>194.11111111111111</v>
      </c>
      <c r="I33" s="156">
        <f t="shared" si="4"/>
        <v>-62.59</v>
      </c>
      <c r="J33" s="156">
        <f t="shared" si="5"/>
        <v>45.57391304347826</v>
      </c>
      <c r="K33" s="156">
        <v>32.71</v>
      </c>
      <c r="L33" s="156">
        <f t="shared" si="1"/>
        <v>19.699999999999996</v>
      </c>
      <c r="M33" s="208">
        <f>F33/K33</f>
        <v>1.6022623051054723</v>
      </c>
      <c r="N33" s="155">
        <f>E33-березень!E33</f>
        <v>8</v>
      </c>
      <c r="O33" s="158">
        <f>F33-березень!F33</f>
        <v>15.209999999999994</v>
      </c>
      <c r="P33" s="159">
        <f t="shared" si="6"/>
        <v>7.209999999999994</v>
      </c>
      <c r="Q33" s="156">
        <f>O33/N33*100</f>
        <v>190.12499999999991</v>
      </c>
      <c r="R33" s="106">
        <v>15</v>
      </c>
      <c r="S33" s="99">
        <f t="shared" si="8"/>
        <v>0.20999999999999375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-27.35</v>
      </c>
      <c r="G34" s="148">
        <f t="shared" si="0"/>
        <v>-27.35</v>
      </c>
      <c r="H34" s="155"/>
      <c r="I34" s="156">
        <f t="shared" si="4"/>
        <v>-27.35</v>
      </c>
      <c r="J34" s="156"/>
      <c r="K34" s="156">
        <v>-107.01</v>
      </c>
      <c r="L34" s="156">
        <f t="shared" si="1"/>
        <v>79.66</v>
      </c>
      <c r="M34" s="208">
        <f>F34/K34</f>
        <v>0.2555835903186618</v>
      </c>
      <c r="N34" s="155">
        <f>E34-березень!E34</f>
        <v>0</v>
      </c>
      <c r="O34" s="158">
        <f>F34-березень!F34</f>
        <v>-2.530000000000001</v>
      </c>
      <c r="P34" s="159">
        <f t="shared" si="6"/>
        <v>-2.530000000000001</v>
      </c>
      <c r="Q34" s="156"/>
      <c r="R34" s="106"/>
      <c r="S34" s="99">
        <f t="shared" si="8"/>
        <v>-2.530000000000001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73607.04</v>
      </c>
      <c r="G35" s="160">
        <f t="shared" si="0"/>
        <v>2001.3399999999965</v>
      </c>
      <c r="H35" s="162">
        <f t="shared" si="3"/>
        <v>102.79494509515304</v>
      </c>
      <c r="I35" s="163">
        <f t="shared" si="4"/>
        <v>-120787.06000000001</v>
      </c>
      <c r="J35" s="163">
        <f t="shared" si="5"/>
        <v>37.86485289419792</v>
      </c>
      <c r="K35" s="176">
        <v>51820.56</v>
      </c>
      <c r="L35" s="176">
        <f>F35-K35</f>
        <v>21786.479999999996</v>
      </c>
      <c r="M35" s="224">
        <f>F35/K35</f>
        <v>1.4204215469690022</v>
      </c>
      <c r="N35" s="155">
        <f>E35-березень!E35</f>
        <v>16827</v>
      </c>
      <c r="O35" s="158">
        <f>F35-березень!F35</f>
        <v>18210.41999999999</v>
      </c>
      <c r="P35" s="165">
        <f t="shared" si="6"/>
        <v>1383.419999999991</v>
      </c>
      <c r="Q35" s="163">
        <f>O35/N35*100</f>
        <v>108.22142984489209</v>
      </c>
      <c r="R35" s="106">
        <v>16827</v>
      </c>
      <c r="S35" s="99">
        <f t="shared" si="8"/>
        <v>1383.419999999991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13998.42</v>
      </c>
      <c r="G37" s="102">
        <f t="shared" si="0"/>
        <v>778.4200000000001</v>
      </c>
      <c r="H37" s="104">
        <f t="shared" si="3"/>
        <v>105.88819969742813</v>
      </c>
      <c r="I37" s="103">
        <f t="shared" si="4"/>
        <v>-27001.58</v>
      </c>
      <c r="J37" s="103">
        <f t="shared" si="5"/>
        <v>34.142487804878044</v>
      </c>
      <c r="K37" s="126">
        <v>12484.76</v>
      </c>
      <c r="L37" s="126">
        <f t="shared" si="1"/>
        <v>1513.6599999999999</v>
      </c>
      <c r="M37" s="214">
        <f t="shared" si="9"/>
        <v>1.1212406165597095</v>
      </c>
      <c r="N37" s="104">
        <f>E37-березень!E37</f>
        <v>2820</v>
      </c>
      <c r="O37" s="142">
        <f>F37-березень!F37</f>
        <v>3050.5</v>
      </c>
      <c r="P37" s="105">
        <f t="shared" si="6"/>
        <v>230.5</v>
      </c>
      <c r="Q37" s="103">
        <f>O37/N37*100</f>
        <v>108.17375886524823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59585.52</v>
      </c>
      <c r="G38" s="102">
        <f t="shared" si="0"/>
        <v>1225.5199999999968</v>
      </c>
      <c r="H38" s="104">
        <f t="shared" si="3"/>
        <v>102.09993145990404</v>
      </c>
      <c r="I38" s="103">
        <f t="shared" si="4"/>
        <v>-93753.58000000002</v>
      </c>
      <c r="J38" s="103">
        <f t="shared" si="5"/>
        <v>38.85866031560117</v>
      </c>
      <c r="K38" s="126">
        <v>39321.61</v>
      </c>
      <c r="L38" s="126">
        <f t="shared" si="1"/>
        <v>20263.909999999996</v>
      </c>
      <c r="M38" s="214">
        <f t="shared" si="9"/>
        <v>1.5153377493953069</v>
      </c>
      <c r="N38" s="104">
        <f>E38-березень!E38</f>
        <v>14000</v>
      </c>
      <c r="O38" s="142">
        <f>F38-березень!F38</f>
        <v>15152.939999999995</v>
      </c>
      <c r="P38" s="105">
        <f t="shared" si="6"/>
        <v>1152.939999999995</v>
      </c>
      <c r="Q38" s="103">
        <f>O38/N38*100</f>
        <v>108.2352857142857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E39-березень!E39</f>
        <v>7</v>
      </c>
      <c r="O39" s="142">
        <f>F39-березень!F39</f>
        <v>6.98</v>
      </c>
      <c r="P39" s="105">
        <f t="shared" si="6"/>
        <v>-0.019999999999999574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284">
        <f>F42+F43+F44+F45+F46+F48+F50+F51+F52+F53+F54+F59+F60+F64+F47</f>
        <v>19437.896000000004</v>
      </c>
      <c r="G41" s="149">
        <f>G42+G43+G44+G45+G46+G48+G50+G51+G52+G53+G54+G59+G60+G64</f>
        <v>36.386000000000756</v>
      </c>
      <c r="H41" s="150">
        <f>F41/E41*100</f>
        <v>100.01747407960073</v>
      </c>
      <c r="I41" s="151">
        <f>F41-D41</f>
        <v>-39587.10399999999</v>
      </c>
      <c r="J41" s="151">
        <f>F41/D41*100</f>
        <v>32.931632359169846</v>
      </c>
      <c r="K41" s="149">
        <v>16760.63</v>
      </c>
      <c r="L41" s="149">
        <f t="shared" si="1"/>
        <v>2677.2660000000033</v>
      </c>
      <c r="M41" s="203">
        <f t="shared" si="9"/>
        <v>1.1597354037407903</v>
      </c>
      <c r="N41" s="149">
        <f>N42+N43+N44+N45+N46+N48+N50+N51+N52+N53+N54+N59+N60+N64+N47</f>
        <v>5120.8</v>
      </c>
      <c r="O41" s="149">
        <f>O42+O43+O44+O45+O46+O48+O50+O51+O52+O53+O54+O59+O60+O64+O47</f>
        <v>5563.656</v>
      </c>
      <c r="P41" s="149">
        <f>P42+P43+P44+P45+P46+P48+P50+P51+P52+P53+P54+P59+P60+P64</f>
        <v>449.1560000000007</v>
      </c>
      <c r="Q41" s="149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-180.86</v>
      </c>
      <c r="G42" s="160">
        <f>F42-E42</f>
        <v>-260.86</v>
      </c>
      <c r="H42" s="162">
        <f aca="true" t="shared" si="10" ref="H42:H65">F42/E42*100</f>
        <v>-226.07500000000002</v>
      </c>
      <c r="I42" s="163">
        <f>F42-D42</f>
        <v>-760.86</v>
      </c>
      <c r="J42" s="163">
        <f>F42/D42*100</f>
        <v>-31.18275862068966</v>
      </c>
      <c r="K42" s="163">
        <v>95.75</v>
      </c>
      <c r="L42" s="163">
        <f t="shared" si="1"/>
        <v>-276.61</v>
      </c>
      <c r="M42" s="216">
        <f t="shared" si="9"/>
        <v>-1.8888772845953004</v>
      </c>
      <c r="N42" s="162">
        <f>E42-березень!E42</f>
        <v>0</v>
      </c>
      <c r="O42" s="166">
        <f>F42-березень!F42</f>
        <v>5.9599999999999795</v>
      </c>
      <c r="P42" s="165">
        <f>O42-N42</f>
        <v>5.9599999999999795</v>
      </c>
      <c r="Q42" s="163" t="e">
        <f aca="true" t="shared" si="11" ref="Q42:Q65">O42/N42*100</f>
        <v>#DIV/0!</v>
      </c>
      <c r="R42" s="36">
        <v>0</v>
      </c>
      <c r="S42" s="36">
        <f>O42-R42</f>
        <v>5.9599999999999795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7806.863</v>
      </c>
      <c r="G43" s="160">
        <f aca="true" t="shared" si="12" ref="G43:G66">F43-E43</f>
        <v>-293.1369999999997</v>
      </c>
      <c r="H43" s="162">
        <f t="shared" si="10"/>
        <v>96.38102469135804</v>
      </c>
      <c r="I43" s="163">
        <f aca="true" t="shared" si="13" ref="I43:I66">F43-D43</f>
        <v>-22193.137</v>
      </c>
      <c r="J43" s="163">
        <f>F43/D43*100</f>
        <v>26.022876666666665</v>
      </c>
      <c r="K43" s="163">
        <v>6753.41</v>
      </c>
      <c r="L43" s="163">
        <f t="shared" si="1"/>
        <v>1053.4530000000004</v>
      </c>
      <c r="M43" s="216"/>
      <c r="N43" s="162">
        <f>E43-березень!E43</f>
        <v>2800</v>
      </c>
      <c r="O43" s="166">
        <f>F43-березень!F43</f>
        <v>3105.023</v>
      </c>
      <c r="P43" s="165">
        <f aca="true" t="shared" si="14" ref="P43:P66">O43-N43</f>
        <v>305.02300000000014</v>
      </c>
      <c r="Q43" s="163">
        <f t="shared" si="11"/>
        <v>110.89367857142858</v>
      </c>
      <c r="R43" s="36">
        <v>3105</v>
      </c>
      <c r="S43" s="36">
        <f aca="true" t="shared" si="15" ref="S43:S66">O43-R43</f>
        <v>0.023000000000138243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82.802</v>
      </c>
      <c r="G44" s="160">
        <f t="shared" si="12"/>
        <v>62.80200000000001</v>
      </c>
      <c r="H44" s="162">
        <f>F44/E44*100</f>
        <v>414.01000000000005</v>
      </c>
      <c r="I44" s="163">
        <f t="shared" si="13"/>
        <v>42.80200000000001</v>
      </c>
      <c r="J44" s="163">
        <f aca="true" t="shared" si="16" ref="J44:J65">F44/D44*100</f>
        <v>207.00500000000002</v>
      </c>
      <c r="K44" s="163">
        <v>27.51</v>
      </c>
      <c r="L44" s="163">
        <f t="shared" si="1"/>
        <v>55.292</v>
      </c>
      <c r="M44" s="216">
        <f aca="true" t="shared" si="17" ref="M44:M66">F44/K44</f>
        <v>3.0098873137041076</v>
      </c>
      <c r="N44" s="162">
        <f>E44-березень!E44</f>
        <v>1</v>
      </c>
      <c r="O44" s="166">
        <f>F44-березень!F44</f>
        <v>10.722000000000008</v>
      </c>
      <c r="P44" s="165">
        <f t="shared" si="14"/>
        <v>9.722000000000008</v>
      </c>
      <c r="Q44" s="163">
        <f t="shared" si="11"/>
        <v>1072.2000000000007</v>
      </c>
      <c r="R44" s="36">
        <v>1</v>
      </c>
      <c r="S44" s="36">
        <f t="shared" si="15"/>
        <v>9.722000000000008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394.483</v>
      </c>
      <c r="G46" s="160">
        <f t="shared" si="12"/>
        <v>310.483</v>
      </c>
      <c r="H46" s="162">
        <f t="shared" si="10"/>
        <v>469.6226190476191</v>
      </c>
      <c r="I46" s="163">
        <f t="shared" si="13"/>
        <v>134.483</v>
      </c>
      <c r="J46" s="163">
        <f t="shared" si="16"/>
        <v>151.72423076923076</v>
      </c>
      <c r="K46" s="163">
        <v>34.2</v>
      </c>
      <c r="L46" s="163">
        <f t="shared" si="1"/>
        <v>360.283</v>
      </c>
      <c r="M46" s="216">
        <f t="shared" si="17"/>
        <v>11.534590643274854</v>
      </c>
      <c r="N46" s="162">
        <f>E46-березень!E46</f>
        <v>22</v>
      </c>
      <c r="O46" s="166">
        <f>F46-березень!F46</f>
        <v>116.72300000000001</v>
      </c>
      <c r="P46" s="165">
        <f t="shared" si="14"/>
        <v>94.72300000000001</v>
      </c>
      <c r="Q46" s="163">
        <f t="shared" si="11"/>
        <v>530.559090909091</v>
      </c>
      <c r="R46" s="36">
        <v>22</v>
      </c>
      <c r="S46" s="36">
        <f t="shared" si="15"/>
        <v>94.72300000000001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393.47</v>
      </c>
      <c r="G48" s="160">
        <f t="shared" si="12"/>
        <v>53.47000000000003</v>
      </c>
      <c r="H48" s="162">
        <f t="shared" si="10"/>
        <v>115.72647058823532</v>
      </c>
      <c r="I48" s="163">
        <f t="shared" si="13"/>
        <v>-336.53</v>
      </c>
      <c r="J48" s="163">
        <f t="shared" si="16"/>
        <v>53.900000000000006</v>
      </c>
      <c r="K48" s="163">
        <v>0</v>
      </c>
      <c r="L48" s="163">
        <f t="shared" si="1"/>
        <v>393.47</v>
      </c>
      <c r="M48" s="216"/>
      <c r="N48" s="162">
        <f>E48-березень!E48</f>
        <v>60</v>
      </c>
      <c r="O48" s="166">
        <f>F48-березень!F48</f>
        <v>92.52000000000004</v>
      </c>
      <c r="P48" s="165">
        <f t="shared" si="14"/>
        <v>32.52000000000004</v>
      </c>
      <c r="Q48" s="163">
        <f t="shared" si="11"/>
        <v>154.20000000000007</v>
      </c>
      <c r="R48" s="36">
        <v>100</v>
      </c>
      <c r="S48" s="36">
        <f t="shared" si="15"/>
        <v>-7.479999999999961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4681.51</v>
      </c>
      <c r="G50" s="160">
        <f t="shared" si="12"/>
        <v>441.5100000000002</v>
      </c>
      <c r="H50" s="162">
        <f t="shared" si="10"/>
        <v>110.41297169811321</v>
      </c>
      <c r="I50" s="163">
        <f t="shared" si="13"/>
        <v>-6318.49</v>
      </c>
      <c r="J50" s="163">
        <f t="shared" si="16"/>
        <v>42.55918181818182</v>
      </c>
      <c r="K50" s="163">
        <v>3201.41</v>
      </c>
      <c r="L50" s="163">
        <f t="shared" si="1"/>
        <v>1480.1000000000004</v>
      </c>
      <c r="M50" s="216">
        <f t="shared" si="17"/>
        <v>1.4623275369290407</v>
      </c>
      <c r="N50" s="162">
        <f>E50-березень!E50</f>
        <v>900</v>
      </c>
      <c r="O50" s="166">
        <f>F50-березень!F50</f>
        <v>1096.5700000000002</v>
      </c>
      <c r="P50" s="165">
        <f t="shared" si="14"/>
        <v>196.57000000000016</v>
      </c>
      <c r="Q50" s="163">
        <f t="shared" si="11"/>
        <v>121.84111111111113</v>
      </c>
      <c r="R50" s="36">
        <v>1200</v>
      </c>
      <c r="S50" s="36">
        <f t="shared" si="15"/>
        <v>-103.42999999999984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175.37</v>
      </c>
      <c r="G51" s="160">
        <f t="shared" si="12"/>
        <v>75.37</v>
      </c>
      <c r="H51" s="162">
        <f t="shared" si="10"/>
        <v>175.37</v>
      </c>
      <c r="I51" s="163">
        <f t="shared" si="13"/>
        <v>-134.63</v>
      </c>
      <c r="J51" s="163">
        <f t="shared" si="16"/>
        <v>56.57096774193548</v>
      </c>
      <c r="K51" s="163">
        <v>1.37</v>
      </c>
      <c r="L51" s="163">
        <f t="shared" si="1"/>
        <v>174</v>
      </c>
      <c r="M51" s="216"/>
      <c r="N51" s="162">
        <f>E51-березень!E51</f>
        <v>25</v>
      </c>
      <c r="O51" s="166">
        <f>F51-березень!F51</f>
        <v>40.170000000000016</v>
      </c>
      <c r="P51" s="165">
        <f t="shared" si="14"/>
        <v>15.170000000000016</v>
      </c>
      <c r="Q51" s="163">
        <f t="shared" si="11"/>
        <v>160.68000000000006</v>
      </c>
      <c r="R51" s="36">
        <v>45</v>
      </c>
      <c r="S51" s="36">
        <f t="shared" si="15"/>
        <v>-4.829999999999984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11.36</v>
      </c>
      <c r="G52" s="160">
        <f t="shared" si="12"/>
        <v>7.359999999999999</v>
      </c>
      <c r="H52" s="162">
        <f t="shared" si="10"/>
        <v>284</v>
      </c>
      <c r="I52" s="163">
        <f t="shared" si="13"/>
        <v>-8.64</v>
      </c>
      <c r="J52" s="163">
        <f t="shared" si="16"/>
        <v>56.8</v>
      </c>
      <c r="K52" s="163">
        <v>0</v>
      </c>
      <c r="L52" s="163">
        <f t="shared" si="1"/>
        <v>11.36</v>
      </c>
      <c r="M52" s="216"/>
      <c r="N52" s="162">
        <f>E52-березень!E52</f>
        <v>1</v>
      </c>
      <c r="O52" s="166">
        <f>F52-березень!F52</f>
        <v>7.359999999999999</v>
      </c>
      <c r="P52" s="165">
        <f t="shared" si="14"/>
        <v>6.359999999999999</v>
      </c>
      <c r="Q52" s="163">
        <f t="shared" si="11"/>
        <v>736</v>
      </c>
      <c r="R52" s="36">
        <v>1</v>
      </c>
      <c r="S52" s="36">
        <f t="shared" si="15"/>
        <v>6.359999999999999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2187.702</v>
      </c>
      <c r="G53" s="160">
        <f t="shared" si="12"/>
        <v>-242.29799999999977</v>
      </c>
      <c r="H53" s="162">
        <f t="shared" si="10"/>
        <v>90.0288888888889</v>
      </c>
      <c r="I53" s="163">
        <f t="shared" si="13"/>
        <v>-5087.298</v>
      </c>
      <c r="J53" s="163">
        <f t="shared" si="16"/>
        <v>30.071505154639176</v>
      </c>
      <c r="K53" s="163">
        <v>2631.35</v>
      </c>
      <c r="L53" s="163">
        <f t="shared" si="1"/>
        <v>-443.6479999999997</v>
      </c>
      <c r="M53" s="216">
        <f t="shared" si="17"/>
        <v>0.8313990917209798</v>
      </c>
      <c r="N53" s="162">
        <f>E53-березень!E53</f>
        <v>610</v>
      </c>
      <c r="O53" s="166">
        <f>F53-березень!F53</f>
        <v>562.6120000000003</v>
      </c>
      <c r="P53" s="165">
        <f t="shared" si="14"/>
        <v>-47.38799999999969</v>
      </c>
      <c r="Q53" s="163">
        <f t="shared" si="11"/>
        <v>92.23147540983612</v>
      </c>
      <c r="R53" s="36">
        <v>562.6</v>
      </c>
      <c r="S53" s="36">
        <f t="shared" si="15"/>
        <v>0.012000000000284672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289.262</v>
      </c>
      <c r="G54" s="160">
        <f t="shared" si="12"/>
        <v>-40.738</v>
      </c>
      <c r="H54" s="162">
        <f t="shared" si="10"/>
        <v>87.65515151515152</v>
      </c>
      <c r="I54" s="163">
        <f t="shared" si="13"/>
        <v>-910.738</v>
      </c>
      <c r="J54" s="163">
        <f t="shared" si="16"/>
        <v>24.105166666666666</v>
      </c>
      <c r="K54" s="163">
        <v>1998.74</v>
      </c>
      <c r="L54" s="163">
        <f t="shared" si="1"/>
        <v>-1709.478</v>
      </c>
      <c r="M54" s="216">
        <f t="shared" si="17"/>
        <v>0.14472217497023124</v>
      </c>
      <c r="N54" s="162">
        <f>E54-березень!E54</f>
        <v>95</v>
      </c>
      <c r="O54" s="166">
        <f>F54-березень!F54</f>
        <v>43.262</v>
      </c>
      <c r="P54" s="165">
        <f t="shared" si="14"/>
        <v>-51.738</v>
      </c>
      <c r="Q54" s="163">
        <f t="shared" si="11"/>
        <v>45.53894736842105</v>
      </c>
      <c r="R54" s="36">
        <v>95</v>
      </c>
      <c r="S54" s="36">
        <f t="shared" si="15"/>
        <v>-51.738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255.38</v>
      </c>
      <c r="G55" s="33">
        <f t="shared" si="12"/>
        <v>-14.620000000000005</v>
      </c>
      <c r="H55" s="29">
        <f t="shared" si="10"/>
        <v>94.58518518518518</v>
      </c>
      <c r="I55" s="103">
        <f t="shared" si="13"/>
        <v>-742.62</v>
      </c>
      <c r="J55" s="103">
        <f t="shared" si="16"/>
        <v>25.589178356713425</v>
      </c>
      <c r="K55" s="103">
        <v>235.42</v>
      </c>
      <c r="L55" s="103">
        <f>F55-K55</f>
        <v>19.960000000000008</v>
      </c>
      <c r="M55" s="108">
        <f t="shared" si="17"/>
        <v>1.0847846402174837</v>
      </c>
      <c r="N55" s="104">
        <f>E55-березень!E55</f>
        <v>80</v>
      </c>
      <c r="O55" s="142">
        <f>F55-березень!F55</f>
        <v>34.44</v>
      </c>
      <c r="P55" s="105">
        <f t="shared" si="14"/>
        <v>-45.56</v>
      </c>
      <c r="Q55" s="118">
        <f t="shared" si="11"/>
        <v>43.05</v>
      </c>
      <c r="R55" s="36"/>
      <c r="S55" s="36">
        <f t="shared" si="15"/>
        <v>34.44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0.15</v>
      </c>
      <c r="L56" s="103">
        <f>F56-K56</f>
        <v>-0.03</v>
      </c>
      <c r="M56" s="108">
        <f t="shared" si="17"/>
        <v>0.8</v>
      </c>
      <c r="N56" s="104">
        <f>E56-березень!E56</f>
        <v>0</v>
      </c>
      <c r="O56" s="142">
        <f>F56-березень!F56</f>
        <v>0.01999999999999999</v>
      </c>
      <c r="P56" s="105">
        <f t="shared" si="14"/>
        <v>0.01999999999999999</v>
      </c>
      <c r="Q56" s="118" t="e">
        <f t="shared" si="11"/>
        <v>#DIV/0!</v>
      </c>
      <c r="R56" s="36"/>
      <c r="S56" s="36">
        <f t="shared" si="15"/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33.77</v>
      </c>
      <c r="G58" s="33">
        <f t="shared" si="12"/>
        <v>-26.229999999999997</v>
      </c>
      <c r="H58" s="29">
        <f t="shared" si="10"/>
        <v>56.28333333333334</v>
      </c>
      <c r="I58" s="103">
        <f t="shared" si="13"/>
        <v>-166.23</v>
      </c>
      <c r="J58" s="103">
        <f t="shared" si="16"/>
        <v>16.885</v>
      </c>
      <c r="K58" s="103">
        <v>1763.16</v>
      </c>
      <c r="L58" s="103">
        <f>F58-K58</f>
        <v>-1729.39</v>
      </c>
      <c r="M58" s="108">
        <f t="shared" si="17"/>
        <v>0.019153111458971393</v>
      </c>
      <c r="N58" s="104">
        <f>E58-березень!E58</f>
        <v>15</v>
      </c>
      <c r="O58" s="142">
        <f>F58-березень!F58</f>
        <v>8.810000000000002</v>
      </c>
      <c r="P58" s="105">
        <f t="shared" si="14"/>
        <v>-6.189999999999998</v>
      </c>
      <c r="Q58" s="118">
        <f t="shared" si="11"/>
        <v>58.73333333333335</v>
      </c>
      <c r="R58" s="36"/>
      <c r="S58" s="36">
        <f t="shared" si="15"/>
        <v>8.810000000000002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3536.212</v>
      </c>
      <c r="G60" s="160">
        <f t="shared" si="12"/>
        <v>-123.78800000000001</v>
      </c>
      <c r="H60" s="162">
        <f t="shared" si="10"/>
        <v>96.61781420765027</v>
      </c>
      <c r="I60" s="163">
        <f t="shared" si="13"/>
        <v>-3813.788</v>
      </c>
      <c r="J60" s="163">
        <f t="shared" si="16"/>
        <v>48.11172789115646</v>
      </c>
      <c r="K60" s="163">
        <v>1974.46</v>
      </c>
      <c r="L60" s="163">
        <f aca="true" t="shared" si="18" ref="L60:L66">F60-K60</f>
        <v>1561.752</v>
      </c>
      <c r="M60" s="216">
        <f t="shared" si="17"/>
        <v>1.7909767733962703</v>
      </c>
      <c r="N60" s="162">
        <f>E60-березень!E60</f>
        <v>600</v>
      </c>
      <c r="O60" s="166">
        <f>F60-березень!F60</f>
        <v>460.48199999999997</v>
      </c>
      <c r="P60" s="165">
        <f t="shared" si="14"/>
        <v>-139.51800000000003</v>
      </c>
      <c r="Q60" s="163">
        <f t="shared" si="11"/>
        <v>76.747</v>
      </c>
      <c r="R60" s="36">
        <v>450</v>
      </c>
      <c r="S60" s="36">
        <f t="shared" si="15"/>
        <v>10.481999999999971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639.69</v>
      </c>
      <c r="G62" s="160"/>
      <c r="H62" s="162"/>
      <c r="I62" s="163"/>
      <c r="J62" s="163"/>
      <c r="K62" s="164">
        <v>387.1</v>
      </c>
      <c r="L62" s="163">
        <f t="shared" si="18"/>
        <v>252.59000000000003</v>
      </c>
      <c r="M62" s="216">
        <f t="shared" si="17"/>
        <v>1.6525187290105916</v>
      </c>
      <c r="N62" s="193"/>
      <c r="O62" s="177">
        <f>F62-березень!F62</f>
        <v>211.96000000000004</v>
      </c>
      <c r="P62" s="164"/>
      <c r="Q62" s="163"/>
      <c r="R62" s="36"/>
      <c r="S62" s="36">
        <f t="shared" si="15"/>
        <v>211.96000000000004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54.642</v>
      </c>
      <c r="G64" s="160">
        <f t="shared" si="12"/>
        <v>44.642</v>
      </c>
      <c r="H64" s="162">
        <f t="shared" si="10"/>
        <v>546.42</v>
      </c>
      <c r="I64" s="163">
        <f t="shared" si="13"/>
        <v>-105.358</v>
      </c>
      <c r="J64" s="163">
        <f t="shared" si="16"/>
        <v>34.15125</v>
      </c>
      <c r="K64" s="163">
        <v>33.09</v>
      </c>
      <c r="L64" s="163">
        <f t="shared" si="18"/>
        <v>21.552</v>
      </c>
      <c r="M64" s="216">
        <f t="shared" si="17"/>
        <v>1.6513145965548504</v>
      </c>
      <c r="N64" s="162">
        <f>E64-березень!E64</f>
        <v>0</v>
      </c>
      <c r="O64" s="166">
        <f>F64-березень!F64</f>
        <v>21.752000000000002</v>
      </c>
      <c r="P64" s="165">
        <f t="shared" si="14"/>
        <v>21.752000000000002</v>
      </c>
      <c r="Q64" s="163"/>
      <c r="R64" s="36">
        <v>0</v>
      </c>
      <c r="S64" s="36">
        <f t="shared" si="15"/>
        <v>21.752000000000002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16.852</v>
      </c>
      <c r="G65" s="160">
        <f t="shared" si="12"/>
        <v>11.752</v>
      </c>
      <c r="H65" s="162">
        <f t="shared" si="10"/>
        <v>330.43137254901967</v>
      </c>
      <c r="I65" s="163">
        <f t="shared" si="13"/>
        <v>1.8520000000000003</v>
      </c>
      <c r="J65" s="163">
        <f t="shared" si="16"/>
        <v>112.34666666666666</v>
      </c>
      <c r="K65" s="163">
        <v>13.52</v>
      </c>
      <c r="L65" s="163">
        <f t="shared" si="18"/>
        <v>3.3320000000000007</v>
      </c>
      <c r="M65" s="216">
        <f t="shared" si="17"/>
        <v>1.246449704142012</v>
      </c>
      <c r="N65" s="162">
        <f>E65-березень!E65</f>
        <v>1.3999999999999995</v>
      </c>
      <c r="O65" s="166">
        <f>F65-березень!F65</f>
        <v>2.5820000000000007</v>
      </c>
      <c r="P65" s="165">
        <f t="shared" si="14"/>
        <v>1.1820000000000013</v>
      </c>
      <c r="Q65" s="163">
        <f t="shared" si="11"/>
        <v>184.42857142857153</v>
      </c>
      <c r="R65" s="36">
        <v>3.2</v>
      </c>
      <c r="S65" s="36">
        <f t="shared" si="15"/>
        <v>-0.6179999999999994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417417.1</v>
      </c>
      <c r="F67" s="284">
        <f>F8+F41+F65+F66</f>
        <v>419761.754</v>
      </c>
      <c r="G67" s="149">
        <f>F67-E67</f>
        <v>2344.6540000000386</v>
      </c>
      <c r="H67" s="150">
        <f>F67/E67*100</f>
        <v>100.5617053062752</v>
      </c>
      <c r="I67" s="151">
        <f>F67-D67</f>
        <v>-937729.3460000001</v>
      </c>
      <c r="J67" s="151">
        <f>F67/D67*100</f>
        <v>30.921878898506222</v>
      </c>
      <c r="K67" s="151">
        <v>310905.14</v>
      </c>
      <c r="L67" s="151">
        <f>F67-K67</f>
        <v>108856.614</v>
      </c>
      <c r="M67" s="217">
        <f>F67/K67</f>
        <v>1.350128061568876</v>
      </c>
      <c r="N67" s="149">
        <f>N8+N41+N65+N66</f>
        <v>110560.2</v>
      </c>
      <c r="O67" s="149">
        <f>O8+O41+O65+O66</f>
        <v>112332.75400000002</v>
      </c>
      <c r="P67" s="153">
        <f>O67-N67</f>
        <v>1772.5540000000183</v>
      </c>
      <c r="Q67" s="151">
        <f>O67/N67*100</f>
        <v>101.60324782335779</v>
      </c>
      <c r="R67" s="26">
        <f>R8+R41+R65+R66</f>
        <v>110624.8</v>
      </c>
      <c r="S67" s="277">
        <f>O67-R67</f>
        <v>1707.9540000000125</v>
      </c>
      <c r="T67" s="277"/>
      <c r="U67" s="114">
        <f>O67/34768</f>
        <v>3.230923665439485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E72-березень!E72</f>
        <v>0</v>
      </c>
      <c r="O72" s="180">
        <f>F72-березень!F72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E73-березень!E73</f>
        <v>0</v>
      </c>
      <c r="O73" s="180">
        <f>F73-березень!F73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6">F75-K75</f>
        <v>35.57</v>
      </c>
      <c r="M75" s="185"/>
      <c r="N75" s="184">
        <f>E75-березень!E75</f>
        <v>0</v>
      </c>
      <c r="O75" s="286">
        <f>F75-березень!F75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 t="shared" si="19"/>
        <v>0.12</v>
      </c>
      <c r="H76" s="162"/>
      <c r="I76" s="165">
        <f t="shared" si="20"/>
        <v>-104205.91</v>
      </c>
      <c r="J76" s="165">
        <f>F76/D76*100</f>
        <v>0.00011515648374666994</v>
      </c>
      <c r="K76" s="165">
        <v>300.88</v>
      </c>
      <c r="L76" s="165">
        <f t="shared" si="21"/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 t="shared" si="22"/>
        <v>0.009999999999999995</v>
      </c>
      <c r="Q76" s="165"/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302.92</v>
      </c>
      <c r="G77" s="160">
        <f t="shared" si="19"/>
        <v>-8127.08</v>
      </c>
      <c r="H77" s="162">
        <f>F77/E77*100</f>
        <v>3.5933570581257417</v>
      </c>
      <c r="I77" s="165">
        <f t="shared" si="20"/>
        <v>-53697.08</v>
      </c>
      <c r="J77" s="165">
        <f>F77/D77*100</f>
        <v>0.560962962962963</v>
      </c>
      <c r="K77" s="165">
        <v>472.26</v>
      </c>
      <c r="L77" s="165">
        <f t="shared" si="21"/>
        <v>-169.33999999999997</v>
      </c>
      <c r="M77" s="207">
        <f>F77/K77</f>
        <v>0.6414263329521874</v>
      </c>
      <c r="N77" s="162">
        <f>E77-березень!E77</f>
        <v>3600</v>
      </c>
      <c r="O77" s="166">
        <f>F77-березень!F77</f>
        <v>135.72000000000003</v>
      </c>
      <c r="P77" s="165">
        <f t="shared" si="22"/>
        <v>-3464.2799999999997</v>
      </c>
      <c r="Q77" s="165">
        <f>O77/N77*100</f>
        <v>3.7700000000000005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1821.45</v>
      </c>
      <c r="G78" s="160">
        <f t="shared" si="19"/>
        <v>-6678.55</v>
      </c>
      <c r="H78" s="162">
        <f>F78/E78*100</f>
        <v>21.428823529411765</v>
      </c>
      <c r="I78" s="165">
        <f t="shared" si="20"/>
        <v>-77178.55</v>
      </c>
      <c r="J78" s="165">
        <f>F78/D78*100</f>
        <v>2.3056329113924052</v>
      </c>
      <c r="K78" s="165">
        <v>8810.08</v>
      </c>
      <c r="L78" s="165">
        <f t="shared" si="21"/>
        <v>-6988.63</v>
      </c>
      <c r="M78" s="207">
        <f>F78/K78</f>
        <v>0.20674613624393876</v>
      </c>
      <c r="N78" s="162">
        <f>E78-березень!E78</f>
        <v>3850</v>
      </c>
      <c r="O78" s="166">
        <f>F78-березень!F78</f>
        <v>607.21</v>
      </c>
      <c r="P78" s="165">
        <f t="shared" si="22"/>
        <v>-3242.79</v>
      </c>
      <c r="Q78" s="165">
        <f>O78/N78*100</f>
        <v>15.771688311688312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5</v>
      </c>
      <c r="G79" s="160">
        <f t="shared" si="19"/>
        <v>1</v>
      </c>
      <c r="H79" s="162">
        <f>F79/E79*100</f>
        <v>125</v>
      </c>
      <c r="I79" s="165">
        <f t="shared" si="20"/>
        <v>-7</v>
      </c>
      <c r="J79" s="165">
        <f>F79/D79*100</f>
        <v>41.66666666666667</v>
      </c>
      <c r="K79" s="165">
        <v>4</v>
      </c>
      <c r="L79" s="165">
        <f t="shared" si="21"/>
        <v>1</v>
      </c>
      <c r="M79" s="207"/>
      <c r="N79" s="162">
        <f>E79-березень!E79</f>
        <v>1</v>
      </c>
      <c r="O79" s="166">
        <f>F79-березень!F79</f>
        <v>2</v>
      </c>
      <c r="P79" s="165">
        <f t="shared" si="22"/>
        <v>1</v>
      </c>
      <c r="Q79" s="165">
        <f>O79/N79*100</f>
        <v>200</v>
      </c>
      <c r="R79" s="37"/>
      <c r="S79" s="278"/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2129.4900000000002</v>
      </c>
      <c r="G80" s="183">
        <f t="shared" si="19"/>
        <v>-14804.51</v>
      </c>
      <c r="H80" s="184">
        <f>F80/E80*100</f>
        <v>12.57523325853313</v>
      </c>
      <c r="I80" s="185">
        <f t="shared" si="20"/>
        <v>-235088.54</v>
      </c>
      <c r="J80" s="185">
        <f>F80/D80*100</f>
        <v>0.8976931475233988</v>
      </c>
      <c r="K80" s="185">
        <v>9587.22</v>
      </c>
      <c r="L80" s="185">
        <f t="shared" si="21"/>
        <v>-7457.73</v>
      </c>
      <c r="M80" s="212">
        <f>F80/K80</f>
        <v>0.2221175690137496</v>
      </c>
      <c r="N80" s="183">
        <f>N76+N77+N78+N79</f>
        <v>7451</v>
      </c>
      <c r="O80" s="187">
        <f>O76+O77+O78+O79</f>
        <v>744.94</v>
      </c>
      <c r="P80" s="185">
        <f t="shared" si="22"/>
        <v>-6706.0599999999995</v>
      </c>
      <c r="Q80" s="185">
        <f>O80/N80*100</f>
        <v>9.997852637229903</v>
      </c>
      <c r="R80" s="38"/>
      <c r="S80" s="279"/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9.25</v>
      </c>
      <c r="G81" s="160">
        <f t="shared" si="19"/>
        <v>6.75</v>
      </c>
      <c r="H81" s="162"/>
      <c r="I81" s="165">
        <f t="shared" si="20"/>
        <v>-30.75</v>
      </c>
      <c r="J81" s="165"/>
      <c r="K81" s="165">
        <v>3.06</v>
      </c>
      <c r="L81" s="165">
        <f t="shared" si="21"/>
        <v>6.1899999999999995</v>
      </c>
      <c r="M81" s="207">
        <f>F81/K81</f>
        <v>3.022875816993464</v>
      </c>
      <c r="N81" s="162">
        <f>E81-березень!E81</f>
        <v>2</v>
      </c>
      <c r="O81" s="166">
        <f>F81-березень!F81</f>
        <v>0.47000000000000064</v>
      </c>
      <c r="P81" s="165">
        <f t="shared" si="22"/>
        <v>-1.5299999999999994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2231.54</v>
      </c>
      <c r="G83" s="160">
        <f t="shared" si="19"/>
        <v>-133.65999999999985</v>
      </c>
      <c r="H83" s="162">
        <f>F83/E83*100</f>
        <v>94.3488922712667</v>
      </c>
      <c r="I83" s="165">
        <f t="shared" si="20"/>
        <v>-6128.46</v>
      </c>
      <c r="J83" s="165">
        <f>F83/D83*100</f>
        <v>26.693062200956934</v>
      </c>
      <c r="K83" s="165">
        <v>2035.53</v>
      </c>
      <c r="L83" s="165">
        <f t="shared" si="21"/>
        <v>196.01</v>
      </c>
      <c r="M83" s="207"/>
      <c r="N83" s="162">
        <f>E83-березень!E83</f>
        <v>8.899999999999636</v>
      </c>
      <c r="O83" s="166">
        <f>F83-березень!F83</f>
        <v>13.590000000000146</v>
      </c>
      <c r="P83" s="165">
        <f>O83-N83</f>
        <v>4.690000000000509</v>
      </c>
      <c r="Q83" s="188">
        <f>O83/N83*100</f>
        <v>152.69662921349104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2240.82</v>
      </c>
      <c r="G85" s="181">
        <f>G81+G84+G82+G83</f>
        <v>-126.87999999999985</v>
      </c>
      <c r="H85" s="184">
        <f>F85/E85*100</f>
        <v>94.64121299151076</v>
      </c>
      <c r="I85" s="185">
        <f t="shared" si="20"/>
        <v>-6159.18</v>
      </c>
      <c r="J85" s="185">
        <f>F85/D85*100</f>
        <v>26.676428571428573</v>
      </c>
      <c r="K85" s="185">
        <v>2039.11</v>
      </c>
      <c r="L85" s="185">
        <f t="shared" si="21"/>
        <v>201.71000000000026</v>
      </c>
      <c r="M85" s="218">
        <f t="shared" si="23"/>
        <v>1.0989206075199476</v>
      </c>
      <c r="N85" s="183">
        <f>N81+N84+N82+N83</f>
        <v>10.899999999999636</v>
      </c>
      <c r="O85" s="187">
        <f>O81+O84+O82+O83</f>
        <v>14.060000000000146</v>
      </c>
      <c r="P85" s="183">
        <f>P81+P84+P82+P83</f>
        <v>3.16000000000051</v>
      </c>
      <c r="Q85" s="185">
        <f>O85/N85*100</f>
        <v>128.99082568807904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7.6</v>
      </c>
      <c r="G86" s="160">
        <f t="shared" si="19"/>
        <v>-6.5</v>
      </c>
      <c r="H86" s="162">
        <f>F86/E86*100</f>
        <v>53.90070921985816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3"/>
        <v>0.8269858541893362</v>
      </c>
      <c r="N86" s="162">
        <f>E86-березень!E86</f>
        <v>1.1999999999999993</v>
      </c>
      <c r="O86" s="166">
        <f>F86-березень!F86</f>
        <v>0.47999999999999954</v>
      </c>
      <c r="P86" s="165">
        <f t="shared" si="22"/>
        <v>-0.7199999999999998</v>
      </c>
      <c r="Q86" s="165">
        <f>O86/N86</f>
        <v>0.39999999999999986</v>
      </c>
      <c r="R86" s="37"/>
      <c r="S86" s="37"/>
      <c r="T86" s="37"/>
      <c r="U86" s="96"/>
    </row>
    <row r="87" spans="2:21" ht="18" hidden="1">
      <c r="B87" s="121"/>
      <c r="C87" s="42">
        <v>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/>
      <c r="L87" s="165"/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19315.8</v>
      </c>
      <c r="F88" s="189">
        <f>F74+F75+F80+F85+F86</f>
        <v>4413.490000000001</v>
      </c>
      <c r="G88" s="190">
        <f>F88-E88</f>
        <v>-14902.309999999998</v>
      </c>
      <c r="H88" s="191">
        <f>F88/E88*100</f>
        <v>22.849118338355133</v>
      </c>
      <c r="I88" s="192">
        <f>F88-D88</f>
        <v>-241242.54</v>
      </c>
      <c r="J88" s="192">
        <f>F88/D88*100</f>
        <v>1.7966137448366324</v>
      </c>
      <c r="K88" s="192">
        <v>11639.75</v>
      </c>
      <c r="L88" s="192">
        <f>F88-K88</f>
        <v>-7226.259999999999</v>
      </c>
      <c r="M88" s="219">
        <f t="shared" si="23"/>
        <v>0.37917395133056986</v>
      </c>
      <c r="N88" s="189">
        <f>N74+N75+N80+N85+N86</f>
        <v>7463.099999999999</v>
      </c>
      <c r="O88" s="189">
        <f>O74+O75+O80+O85+O86</f>
        <v>759.4800000000002</v>
      </c>
      <c r="P88" s="192">
        <f t="shared" si="22"/>
        <v>-6703.619999999999</v>
      </c>
      <c r="Q88" s="192">
        <f>O88/N88*100</f>
        <v>10.176468223660413</v>
      </c>
      <c r="R88" s="26">
        <f>O88-8104.96</f>
        <v>-7345.48</v>
      </c>
      <c r="S88" s="26"/>
      <c r="T88" s="26"/>
      <c r="U88" s="94">
        <f>O88/8104.96</f>
        <v>0.09370558275426409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424175.244</v>
      </c>
      <c r="G89" s="190">
        <f>F89-E89</f>
        <v>-12557.655999999959</v>
      </c>
      <c r="H89" s="191">
        <f>F89/E89*100</f>
        <v>97.12463704932695</v>
      </c>
      <c r="I89" s="192">
        <f>F89-D89</f>
        <v>-1178971.8860000002</v>
      </c>
      <c r="J89" s="192">
        <f>F89/D89*100</f>
        <v>26.45890923311574</v>
      </c>
      <c r="K89" s="192">
        <f>K67+K88</f>
        <v>322544.89</v>
      </c>
      <c r="L89" s="192">
        <f>F89-K89</f>
        <v>101630.35399999999</v>
      </c>
      <c r="M89" s="219">
        <f t="shared" si="23"/>
        <v>1.3150890221823077</v>
      </c>
      <c r="N89" s="190">
        <f>N67+N88</f>
        <v>118023.3</v>
      </c>
      <c r="O89" s="190">
        <f>O67+O88</f>
        <v>113092.23400000001</v>
      </c>
      <c r="P89" s="192">
        <f t="shared" si="22"/>
        <v>-4931.065999999992</v>
      </c>
      <c r="Q89" s="192">
        <f>O89/N89*100</f>
        <v>95.8219554952285</v>
      </c>
      <c r="R89" s="26">
        <f>O89-42872.96</f>
        <v>70219.274</v>
      </c>
      <c r="S89" s="26"/>
      <c r="T89" s="26"/>
      <c r="U89" s="94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17"/>
      <c r="H92" s="317"/>
      <c r="I92" s="317"/>
      <c r="J92" s="317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42853</v>
      </c>
      <c r="D93" s="28">
        <v>13596.8</v>
      </c>
      <c r="G93" s="4" t="s">
        <v>58</v>
      </c>
      <c r="O93" s="318"/>
      <c r="P93" s="318"/>
    </row>
    <row r="94" spans="3:16" ht="15">
      <c r="C94" s="80">
        <v>42852</v>
      </c>
      <c r="D94" s="28">
        <v>13266.8</v>
      </c>
      <c r="F94" s="112" t="s">
        <v>58</v>
      </c>
      <c r="G94" s="319"/>
      <c r="H94" s="319"/>
      <c r="I94" s="117"/>
      <c r="J94" s="320"/>
      <c r="K94" s="320"/>
      <c r="L94" s="320"/>
      <c r="M94" s="320"/>
      <c r="N94" s="320"/>
      <c r="O94" s="318"/>
      <c r="P94" s="318"/>
    </row>
    <row r="95" spans="3:16" ht="15.75" customHeight="1">
      <c r="C95" s="80">
        <v>42851</v>
      </c>
      <c r="D95" s="28">
        <v>6064.2</v>
      </c>
      <c r="F95" s="67"/>
      <c r="G95" s="319"/>
      <c r="H95" s="319"/>
      <c r="I95" s="117"/>
      <c r="J95" s="321"/>
      <c r="K95" s="321"/>
      <c r="L95" s="321"/>
      <c r="M95" s="321"/>
      <c r="N95" s="321"/>
      <c r="O95" s="318"/>
      <c r="P95" s="318"/>
    </row>
    <row r="96" spans="3:14" ht="15.75" customHeight="1">
      <c r="C96" s="80"/>
      <c r="F96" s="67"/>
      <c r="G96" s="325"/>
      <c r="H96" s="325"/>
      <c r="I96" s="123"/>
      <c r="J96" s="320"/>
      <c r="K96" s="320"/>
      <c r="L96" s="320"/>
      <c r="M96" s="320"/>
      <c r="N96" s="320"/>
    </row>
    <row r="97" spans="2:14" ht="18" customHeight="1">
      <c r="B97" s="326" t="s">
        <v>56</v>
      </c>
      <c r="C97" s="327"/>
      <c r="D97" s="132">
        <v>102.57358</v>
      </c>
      <c r="E97" s="68"/>
      <c r="F97" s="124" t="s">
        <v>105</v>
      </c>
      <c r="G97" s="319"/>
      <c r="H97" s="319"/>
      <c r="I97" s="125"/>
      <c r="J97" s="320"/>
      <c r="K97" s="320"/>
      <c r="L97" s="320"/>
      <c r="M97" s="320"/>
      <c r="N97" s="320"/>
    </row>
    <row r="98" spans="6:13" ht="9.75" customHeight="1" hidden="1">
      <c r="F98" s="67"/>
      <c r="G98" s="319"/>
      <c r="H98" s="319"/>
      <c r="I98" s="67"/>
      <c r="J98" s="68"/>
      <c r="K98" s="68"/>
      <c r="L98" s="68"/>
      <c r="M98" s="68"/>
    </row>
    <row r="99" spans="2:13" ht="22.5" customHeight="1" hidden="1">
      <c r="B99" s="322" t="s">
        <v>59</v>
      </c>
      <c r="C99" s="323"/>
      <c r="D99" s="79">
        <v>0</v>
      </c>
      <c r="E99" s="50" t="s">
        <v>24</v>
      </c>
      <c r="F99" s="67"/>
      <c r="G99" s="319"/>
      <c r="H99" s="319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444</v>
      </c>
      <c r="F100" s="201">
        <f>F48+F51+F52</f>
        <v>580.2</v>
      </c>
      <c r="G100" s="67">
        <f>G48+G51+G52</f>
        <v>136.20000000000005</v>
      </c>
      <c r="H100" s="68"/>
      <c r="I100" s="68"/>
      <c r="N100" s="28">
        <f>N48+N51+N52</f>
        <v>86</v>
      </c>
      <c r="O100" s="200">
        <f>O48+O51+O52</f>
        <v>140.05000000000007</v>
      </c>
      <c r="P100" s="28">
        <f>P48+P51+P52</f>
        <v>54.050000000000054</v>
      </c>
    </row>
    <row r="101" spans="4:16" ht="15" hidden="1">
      <c r="D101" s="77"/>
      <c r="I101" s="28"/>
      <c r="O101" s="324"/>
      <c r="P101" s="324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400152.318</v>
      </c>
      <c r="G102" s="28">
        <f>F102-E102</f>
        <v>2087.2180000000517</v>
      </c>
      <c r="H102" s="228">
        <f>F102/E102</f>
        <v>1.0052434086786308</v>
      </c>
      <c r="I102" s="28">
        <f>F102-D102</f>
        <v>-898896.2820000001</v>
      </c>
      <c r="J102" s="228">
        <f>F102/D102</f>
        <v>0.3080349095484187</v>
      </c>
      <c r="N102" s="28">
        <f>N9+N15+N17+N18+N19+N23+N42+N45+N65+N59</f>
        <v>105439.4</v>
      </c>
      <c r="O102" s="227">
        <f>O9+O15+O17+O18+O19+O23+O42+O45+O65+O59</f>
        <v>106774.97800000002</v>
      </c>
      <c r="P102" s="28">
        <f>O102-N102</f>
        <v>1335.5780000000232</v>
      </c>
      <c r="Q102" s="228">
        <f>O102/N102</f>
        <v>1.0126667830052145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19609.436</v>
      </c>
      <c r="G103" s="28">
        <f>G43+G44+G46+G48+G50+G51+G52+G53+G54+G60+G64+G47</f>
        <v>262.68600000000083</v>
      </c>
      <c r="H103" s="228">
        <f>F103/E103</f>
        <v>1.0133028110789584</v>
      </c>
      <c r="I103" s="28">
        <f>I43+I44+I46+I48+I50+I51+I52+I53+I54+I60+I64+I47</f>
        <v>-38827.81399999999</v>
      </c>
      <c r="J103" s="228">
        <f>F103/D103</f>
        <v>0.3355338323993669</v>
      </c>
      <c r="K103" s="28">
        <f aca="true" t="shared" si="24" ref="K103:P103">K43+K44+K46+K48+K50+K51+K52+K53+K54+K60+K64+K47</f>
        <v>16662.34</v>
      </c>
      <c r="L103" s="28">
        <f t="shared" si="24"/>
        <v>2952.3460000000014</v>
      </c>
      <c r="M103" s="28">
        <f t="shared" si="24"/>
        <v>20.42521813055033</v>
      </c>
      <c r="N103" s="28">
        <f>N43+N44+N46+N48+N50+N51+N52+N53+N54+N60+N64+N47+N66</f>
        <v>5120.8</v>
      </c>
      <c r="O103" s="227">
        <f>O43+O44+O46+O48+O50+O51+O52+O53+O54+O60+O64+O47+O66</f>
        <v>5557.776000000001</v>
      </c>
      <c r="P103" s="28">
        <f t="shared" si="24"/>
        <v>436.89600000000064</v>
      </c>
      <c r="Q103" s="228">
        <f>O103/N103</f>
        <v>1.0853335416341199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419761.754</v>
      </c>
      <c r="G104" s="28">
        <f t="shared" si="25"/>
        <v>2349.9040000000523</v>
      </c>
      <c r="H104" s="228">
        <f>F104/E104</f>
        <v>1.005617053062752</v>
      </c>
      <c r="I104" s="28">
        <f t="shared" si="25"/>
        <v>-937724.0960000001</v>
      </c>
      <c r="J104" s="228">
        <f>F104/D104</f>
        <v>0.3092187889850622</v>
      </c>
      <c r="K104" s="28">
        <f t="shared" si="25"/>
        <v>16662.34</v>
      </c>
      <c r="L104" s="28">
        <f t="shared" si="25"/>
        <v>2952.3460000000014</v>
      </c>
      <c r="M104" s="28">
        <f t="shared" si="25"/>
        <v>20.42521813055033</v>
      </c>
      <c r="N104" s="28">
        <f t="shared" si="25"/>
        <v>110560.2</v>
      </c>
      <c r="O104" s="227">
        <f t="shared" si="25"/>
        <v>112332.75400000002</v>
      </c>
      <c r="P104" s="28">
        <f t="shared" si="25"/>
        <v>1772.4740000000238</v>
      </c>
      <c r="Q104" s="228">
        <f>O104/N104</f>
        <v>1.016032478233578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-5.250000000013642</v>
      </c>
      <c r="H105" s="228"/>
      <c r="I105" s="28">
        <f t="shared" si="26"/>
        <v>-5.25</v>
      </c>
      <c r="J105" s="228"/>
      <c r="K105" s="28">
        <f t="shared" si="26"/>
        <v>294242.8</v>
      </c>
      <c r="L105" s="28">
        <f t="shared" si="26"/>
        <v>105904.268</v>
      </c>
      <c r="M105" s="28">
        <f t="shared" si="26"/>
        <v>-19.075090068981453</v>
      </c>
      <c r="N105" s="28">
        <f t="shared" si="26"/>
        <v>0</v>
      </c>
      <c r="O105" s="28">
        <f t="shared" si="26"/>
        <v>0</v>
      </c>
      <c r="P105" s="28">
        <f t="shared" si="26"/>
        <v>0.07999999999447027</v>
      </c>
      <c r="Q105" s="28"/>
      <c r="R105" s="28">
        <f t="shared" si="26"/>
        <v>110624.8</v>
      </c>
      <c r="S105" s="28"/>
      <c r="T105" s="28"/>
      <c r="U105" s="28">
        <f t="shared" si="26"/>
        <v>3.230923665439485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43161.39999999998</v>
      </c>
    </row>
    <row r="108" spans="2:5" ht="15" hidden="1">
      <c r="B108" s="242" t="s">
        <v>153</v>
      </c>
      <c r="E108" s="28">
        <f>E88-E83-E76-E77</f>
        <v>8520.599999999999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24667.81</v>
      </c>
      <c r="G111" s="190">
        <f>F111-E111</f>
        <v>-12750.05</v>
      </c>
      <c r="H111" s="191">
        <f>F111/E111*100</f>
        <v>65.92522928890108</v>
      </c>
      <c r="I111" s="192">
        <f>F111-D111</f>
        <v>-293396.44</v>
      </c>
      <c r="J111" s="192">
        <f>F111/D111*100</f>
        <v>7.755605982124682</v>
      </c>
      <c r="K111" s="192">
        <v>3039.87</v>
      </c>
      <c r="L111" s="192">
        <f>F111-K111</f>
        <v>21627.940000000002</v>
      </c>
      <c r="M111" s="266">
        <f>F111/K111</f>
        <v>8.11475819689658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444429.564</v>
      </c>
      <c r="G112" s="190">
        <f>F112-E112</f>
        <v>-10405.39599999995</v>
      </c>
      <c r="H112" s="191">
        <f>F112/E112*100</f>
        <v>97.71226996271352</v>
      </c>
      <c r="I112" s="192">
        <f>F112-D112</f>
        <v>-1231125.786</v>
      </c>
      <c r="J112" s="192">
        <f>F112/D112*100</f>
        <v>26.52431410278389</v>
      </c>
      <c r="K112" s="192">
        <f>K89+K111</f>
        <v>325584.76</v>
      </c>
      <c r="L112" s="192">
        <f>F112-K112</f>
        <v>118844.804</v>
      </c>
      <c r="M112" s="266">
        <f>F112/K112</f>
        <v>1.3650195543550625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1005490.5599999999</v>
      </c>
      <c r="F124" s="274">
        <f>F112+F113</f>
        <v>990258.644</v>
      </c>
      <c r="G124" s="275">
        <f t="shared" si="28"/>
        <v>-15231.915999999968</v>
      </c>
      <c r="H124" s="274">
        <f t="shared" si="30"/>
        <v>98.48512590709952</v>
      </c>
      <c r="I124" s="276">
        <f t="shared" si="29"/>
        <v>-1908165.3960000002</v>
      </c>
      <c r="J124" s="276">
        <f t="shared" si="31"/>
        <v>34.16541645852482</v>
      </c>
      <c r="Q124" s="240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0" sqref="L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7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288" t="s">
        <v>172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85"/>
      <c r="S1" s="86"/>
      <c r="T1" s="243"/>
      <c r="U1" s="246"/>
      <c r="V1" s="256"/>
      <c r="W1" s="256"/>
    </row>
    <row r="2" spans="2:23" s="1" customFormat="1" ht="15.75" customHeight="1">
      <c r="B2" s="289"/>
      <c r="C2" s="289"/>
      <c r="D2" s="289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3"/>
      <c r="U2" s="246"/>
      <c r="V2" s="256"/>
      <c r="W2" s="256"/>
    </row>
    <row r="3" spans="1:23" s="3" customFormat="1" ht="13.5" customHeight="1">
      <c r="A3" s="290"/>
      <c r="B3" s="292"/>
      <c r="C3" s="293" t="s">
        <v>0</v>
      </c>
      <c r="D3" s="294" t="s">
        <v>137</v>
      </c>
      <c r="E3" s="31"/>
      <c r="F3" s="295" t="s">
        <v>26</v>
      </c>
      <c r="G3" s="296"/>
      <c r="H3" s="296"/>
      <c r="I3" s="296"/>
      <c r="J3" s="297"/>
      <c r="K3" s="82"/>
      <c r="L3" s="82"/>
      <c r="M3" s="82"/>
      <c r="N3" s="298" t="s">
        <v>150</v>
      </c>
      <c r="O3" s="301" t="s">
        <v>151</v>
      </c>
      <c r="P3" s="301"/>
      <c r="Q3" s="301"/>
      <c r="R3" s="301"/>
      <c r="S3" s="301"/>
      <c r="T3" s="112" t="s">
        <v>161</v>
      </c>
      <c r="U3" s="112" t="s">
        <v>161</v>
      </c>
      <c r="V3" s="257" t="s">
        <v>161</v>
      </c>
      <c r="W3" s="257" t="s">
        <v>161</v>
      </c>
    </row>
    <row r="4" spans="1:22" ht="22.5" customHeight="1">
      <c r="A4" s="290"/>
      <c r="B4" s="292"/>
      <c r="C4" s="293"/>
      <c r="D4" s="294"/>
      <c r="E4" s="302" t="s">
        <v>140</v>
      </c>
      <c r="F4" s="304" t="s">
        <v>33</v>
      </c>
      <c r="G4" s="306" t="s">
        <v>149</v>
      </c>
      <c r="H4" s="299" t="s">
        <v>163</v>
      </c>
      <c r="I4" s="306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8" t="s">
        <v>173</v>
      </c>
      <c r="P4" s="306" t="s">
        <v>49</v>
      </c>
      <c r="Q4" s="310" t="s">
        <v>48</v>
      </c>
      <c r="R4" s="90" t="s">
        <v>64</v>
      </c>
      <c r="S4" s="91" t="s">
        <v>63</v>
      </c>
      <c r="T4" s="28" t="s">
        <v>160</v>
      </c>
      <c r="U4" s="247" t="s">
        <v>160</v>
      </c>
      <c r="V4" s="77" t="s">
        <v>162</v>
      </c>
    </row>
    <row r="5" spans="1:23" ht="67.5" customHeight="1">
      <c r="A5" s="291"/>
      <c r="B5" s="292"/>
      <c r="C5" s="293"/>
      <c r="D5" s="294"/>
      <c r="E5" s="303"/>
      <c r="F5" s="305"/>
      <c r="G5" s="307"/>
      <c r="H5" s="300"/>
      <c r="I5" s="307"/>
      <c r="J5" s="300"/>
      <c r="K5" s="311" t="s">
        <v>156</v>
      </c>
      <c r="L5" s="312"/>
      <c r="M5" s="313"/>
      <c r="N5" s="300"/>
      <c r="O5" s="309"/>
      <c r="P5" s="307"/>
      <c r="Q5" s="310"/>
      <c r="R5" s="311" t="s">
        <v>102</v>
      </c>
      <c r="S5" s="313"/>
      <c r="T5" s="28" t="s">
        <v>154</v>
      </c>
      <c r="U5" s="247" t="s">
        <v>155</v>
      </c>
      <c r="V5" s="77" t="s">
        <v>154</v>
      </c>
      <c r="W5" s="258" t="s">
        <v>155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4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4">
        <f>O9-T9</f>
        <v>1525.4199999999837</v>
      </c>
      <c r="V9" s="131">
        <v>160661.9</v>
      </c>
      <c r="W9" s="262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4">
        <f aca="true" t="shared" si="8" ref="U10:U42">O10-T10</f>
        <v>55588.729999999996</v>
      </c>
      <c r="V10" s="131"/>
      <c r="W10" s="261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4">
        <f t="shared" si="8"/>
        <v>3209.2199999999993</v>
      </c>
      <c r="V11" s="131"/>
      <c r="W11" s="261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4">
        <f t="shared" si="8"/>
        <v>727.27</v>
      </c>
      <c r="V12" s="131"/>
      <c r="W12" s="261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4">
        <f t="shared" si="8"/>
        <v>600.8399999999999</v>
      </c>
      <c r="V13" s="131"/>
      <c r="W13" s="261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4"/>
      <c r="U14" s="244">
        <f t="shared" si="8"/>
        <v>175.36</v>
      </c>
      <c r="V14" s="131"/>
      <c r="W14" s="261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4">
        <f t="shared" si="8"/>
        <v>-3.1300000000000523</v>
      </c>
      <c r="V15" s="131"/>
      <c r="W15" s="261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4">
        <f t="shared" si="8"/>
        <v>0</v>
      </c>
      <c r="V16" s="131"/>
      <c r="W16" s="261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4">
        <f t="shared" si="8"/>
        <v>0</v>
      </c>
      <c r="V17" s="131"/>
      <c r="W17" s="261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4"/>
      <c r="V18" s="131"/>
      <c r="W18" s="261"/>
    </row>
    <row r="19" spans="1:23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4"/>
      <c r="V19" s="131"/>
      <c r="W19" s="261"/>
    </row>
    <row r="20" spans="1:23" s="6" customFormat="1" ht="61.5">
      <c r="A20" s="8"/>
      <c r="B20" s="249" t="s">
        <v>192</v>
      </c>
      <c r="C20" s="122">
        <v>14040000</v>
      </c>
      <c r="D20" s="250">
        <v>130000</v>
      </c>
      <c r="E20" s="250">
        <v>27800</v>
      </c>
      <c r="F20" s="199">
        <v>17734.06</v>
      </c>
      <c r="G20" s="250">
        <f t="shared" si="0"/>
        <v>-10065.939999999999</v>
      </c>
      <c r="H20" s="193">
        <f t="shared" si="3"/>
        <v>63.79158273381296</v>
      </c>
      <c r="I20" s="251">
        <f t="shared" si="4"/>
        <v>-112265.94</v>
      </c>
      <c r="J20" s="251">
        <f t="shared" si="5"/>
        <v>13.641584615384616</v>
      </c>
      <c r="K20" s="252">
        <v>18270.89</v>
      </c>
      <c r="L20" s="164">
        <f t="shared" si="1"/>
        <v>-536.8299999999981</v>
      </c>
      <c r="M20" s="253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1">
        <f t="shared" si="7"/>
        <v>41.10357142857144</v>
      </c>
      <c r="R20" s="106"/>
      <c r="S20" s="107"/>
      <c r="T20" s="254">
        <v>4250</v>
      </c>
      <c r="U20" s="255">
        <f t="shared" si="8"/>
        <v>-221.84999999999854</v>
      </c>
      <c r="V20" s="259">
        <v>17955.9</v>
      </c>
      <c r="W20" s="262">
        <f>F20-V20</f>
        <v>-221.84000000000015</v>
      </c>
    </row>
    <row r="21" spans="1:23" s="6" customFormat="1" ht="18">
      <c r="A21" s="8"/>
      <c r="B21" s="249" t="s">
        <v>157</v>
      </c>
      <c r="C21" s="122">
        <v>14021900</v>
      </c>
      <c r="D21" s="250">
        <v>0</v>
      </c>
      <c r="E21" s="250">
        <v>0</v>
      </c>
      <c r="F21" s="199">
        <v>2236.79</v>
      </c>
      <c r="G21" s="250">
        <f t="shared" si="0"/>
        <v>2236.79</v>
      </c>
      <c r="H21" s="193"/>
      <c r="I21" s="251">
        <f t="shared" si="4"/>
        <v>2236.79</v>
      </c>
      <c r="J21" s="251"/>
      <c r="K21" s="252">
        <v>0</v>
      </c>
      <c r="L21" s="164">
        <f t="shared" si="1"/>
        <v>2236.79</v>
      </c>
      <c r="M21" s="253"/>
      <c r="N21" s="193">
        <v>0</v>
      </c>
      <c r="O21" s="177">
        <f>F21</f>
        <v>2236.79</v>
      </c>
      <c r="P21" s="164"/>
      <c r="Q21" s="251"/>
      <c r="R21" s="106"/>
      <c r="S21" s="107"/>
      <c r="T21" s="254"/>
      <c r="U21" s="255"/>
      <c r="V21" s="259"/>
      <c r="W21" s="261"/>
    </row>
    <row r="22" spans="1:23" s="6" customFormat="1" ht="18">
      <c r="A22" s="8"/>
      <c r="B22" s="249" t="s">
        <v>158</v>
      </c>
      <c r="C22" s="122">
        <v>14031900</v>
      </c>
      <c r="D22" s="250">
        <v>0</v>
      </c>
      <c r="E22" s="250">
        <v>0</v>
      </c>
      <c r="F22" s="199">
        <v>7663.01</v>
      </c>
      <c r="G22" s="250">
        <f t="shared" si="0"/>
        <v>7663.01</v>
      </c>
      <c r="H22" s="193"/>
      <c r="I22" s="251">
        <f t="shared" si="4"/>
        <v>7663.01</v>
      </c>
      <c r="J22" s="251"/>
      <c r="K22" s="252">
        <v>0</v>
      </c>
      <c r="L22" s="164">
        <f t="shared" si="1"/>
        <v>7663.01</v>
      </c>
      <c r="M22" s="253"/>
      <c r="N22" s="193">
        <v>0</v>
      </c>
      <c r="O22" s="177">
        <f>F22</f>
        <v>7663.01</v>
      </c>
      <c r="P22" s="164"/>
      <c r="Q22" s="251"/>
      <c r="R22" s="106"/>
      <c r="S22" s="107"/>
      <c r="T22" s="254"/>
      <c r="U22" s="255"/>
      <c r="V22" s="259"/>
      <c r="W22" s="261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4"/>
      <c r="V23" s="131"/>
      <c r="W23" s="261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4"/>
      <c r="V24" s="131"/>
      <c r="W24" s="261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4">
        <f t="shared" si="8"/>
        <v>431.72999999999956</v>
      </c>
      <c r="V25" s="131"/>
      <c r="W25" s="261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4">
        <f t="shared" si="8"/>
        <v>6.840000000000003</v>
      </c>
      <c r="V26" s="131"/>
      <c r="W26" s="261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4">
        <f t="shared" si="8"/>
        <v>798.8900000000003</v>
      </c>
      <c r="V27" s="131"/>
      <c r="W27" s="261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4">
        <f t="shared" si="8"/>
        <v>-47.92</v>
      </c>
      <c r="V28" s="131"/>
      <c r="W28" s="261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4">
        <f t="shared" si="8"/>
        <v>1126.5</v>
      </c>
      <c r="V29" s="131">
        <v>42191.7</v>
      </c>
      <c r="W29" s="262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4">
        <f t="shared" si="8"/>
        <v>5576.230000000001</v>
      </c>
      <c r="V30" s="131"/>
      <c r="W30" s="261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4">
        <f t="shared" si="8"/>
        <v>10774.27</v>
      </c>
      <c r="V31" s="131"/>
      <c r="W31" s="261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4"/>
      <c r="V32" s="131"/>
      <c r="W32" s="261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4"/>
      <c r="V33" s="131"/>
      <c r="W33" s="261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4"/>
      <c r="V34" s="131"/>
      <c r="W34" s="261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4">
        <f t="shared" si="8"/>
        <v>1118.060000000005</v>
      </c>
      <c r="V35" s="131"/>
      <c r="W35" s="261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3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4">
        <f t="shared" si="8"/>
        <v>0</v>
      </c>
      <c r="V36" s="131"/>
      <c r="W36" s="261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4">
        <f t="shared" si="8"/>
        <v>1191.9699999999993</v>
      </c>
      <c r="V37" s="131"/>
      <c r="W37" s="261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4">
        <f t="shared" si="8"/>
        <v>6576.080000000002</v>
      </c>
      <c r="V38" s="131"/>
      <c r="W38" s="261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4">
        <f t="shared" si="8"/>
        <v>0</v>
      </c>
      <c r="V39" s="131"/>
      <c r="W39" s="261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4">
        <f t="shared" si="8"/>
        <v>0</v>
      </c>
      <c r="V40" s="131"/>
      <c r="W40" s="261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4"/>
      <c r="W41" s="261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4">
        <f t="shared" si="8"/>
        <v>0</v>
      </c>
      <c r="V42" s="131"/>
      <c r="W42" s="261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>
        <f t="shared" si="9"/>
        <v>1.3291871385036382</v>
      </c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4"/>
      <c r="V43" s="131"/>
      <c r="W43" s="261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4"/>
      <c r="V44" s="131"/>
      <c r="W44" s="261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4"/>
      <c r="V45" s="131"/>
      <c r="W45" s="261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4"/>
      <c r="V46" s="131"/>
      <c r="W46" s="261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4"/>
      <c r="V47" s="131"/>
      <c r="W47" s="261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4"/>
      <c r="V48" s="131"/>
      <c r="W48" s="261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4"/>
      <c r="V49" s="131"/>
      <c r="W49" s="261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4"/>
      <c r="V50" s="131"/>
      <c r="W50" s="261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4"/>
      <c r="V51" s="131"/>
      <c r="W51" s="261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4"/>
      <c r="V52" s="131"/>
      <c r="W52" s="261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4"/>
      <c r="V53" s="131"/>
      <c r="W53" s="261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4"/>
      <c r="V54" s="131"/>
      <c r="W54" s="261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4"/>
      <c r="V55" s="131"/>
      <c r="W55" s="261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4"/>
      <c r="V56" s="131"/>
      <c r="W56" s="261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4"/>
      <c r="V57" s="131"/>
      <c r="W57" s="261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4"/>
      <c r="V58" s="131"/>
      <c r="W58" s="261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4"/>
      <c r="V59" s="131"/>
      <c r="W59" s="261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4"/>
      <c r="V60" s="131"/>
      <c r="W60" s="261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4"/>
      <c r="V61" s="131"/>
      <c r="W61" s="261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4"/>
      <c r="V62" s="131"/>
      <c r="W62" s="261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4"/>
      <c r="V63" s="131"/>
      <c r="W63" s="261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4"/>
      <c r="V64" s="131"/>
      <c r="W64" s="261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4">
        <f>O65-T65</f>
        <v>5.37</v>
      </c>
      <c r="V65" s="131"/>
      <c r="W65" s="261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4"/>
      <c r="V66" s="131"/>
      <c r="W66" s="261"/>
    </row>
    <row r="67" spans="1:23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4">
        <f>O67-T67</f>
        <v>14341.229999999981</v>
      </c>
      <c r="V67" s="131">
        <v>293087.8</v>
      </c>
      <c r="W67" s="262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5"/>
      <c r="U68" s="248"/>
      <c r="V68" s="260"/>
      <c r="W68" s="260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5"/>
      <c r="U69" s="248"/>
      <c r="V69" s="260"/>
      <c r="W69" s="260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5"/>
      <c r="U70" s="248"/>
      <c r="V70" s="260"/>
      <c r="W70" s="260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D72-лютий!E69</f>
        <v>0</v>
      </c>
      <c r="O72" s="180">
        <f>F72-лютий!F69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D73-лютий!E70</f>
        <v>0</v>
      </c>
      <c r="O73" s="180">
        <f>F73-лютий!F70</f>
        <v>0</v>
      </c>
      <c r="P73" s="165">
        <f>O73-N73</f>
        <v>0</v>
      </c>
      <c r="Q73" s="165"/>
      <c r="R73" s="37"/>
      <c r="S73" s="96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8" ref="G75:G87">F75-E75</f>
        <v>35.57</v>
      </c>
      <c r="H75" s="184"/>
      <c r="I75" s="185">
        <f aca="true" t="shared" si="19" ref="I75:I87">F75-D75</f>
        <v>35.57</v>
      </c>
      <c r="J75" s="185"/>
      <c r="K75" s="185">
        <v>0</v>
      </c>
      <c r="L75" s="185">
        <f aca="true" t="shared" si="20" ref="L75:L87">F75-K75</f>
        <v>35.57</v>
      </c>
      <c r="M75" s="185"/>
      <c r="N75" s="184">
        <f>E75-лютий!E72</f>
        <v>0</v>
      </c>
      <c r="O75" s="286">
        <f>F75-лютий!F72</f>
        <v>8.91</v>
      </c>
      <c r="P75" s="185">
        <f aca="true" t="shared" si="21" ref="P75:P89">O75-N75</f>
        <v>8.91</v>
      </c>
      <c r="Q75" s="18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t="shared" si="18"/>
        <v>0.11</v>
      </c>
      <c r="H76" s="162"/>
      <c r="I76" s="165">
        <f t="shared" si="19"/>
        <v>-104205.92</v>
      </c>
      <c r="J76" s="165">
        <f>F76/D76*100</f>
        <v>0.00010556011010111412</v>
      </c>
      <c r="K76" s="165">
        <v>0.15</v>
      </c>
      <c r="L76" s="165">
        <f t="shared" si="20"/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t="shared" si="21"/>
        <v>0.039999999999999994</v>
      </c>
      <c r="Q76" s="165"/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7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 hidden="1">
      <c r="B87" s="121"/>
      <c r="C87" s="42">
        <v>0</v>
      </c>
      <c r="D87" s="178">
        <v>0</v>
      </c>
      <c r="E87" s="178">
        <v>0</v>
      </c>
      <c r="F87" s="179">
        <v>0</v>
      </c>
      <c r="G87" s="160">
        <f t="shared" si="18"/>
        <v>0</v>
      </c>
      <c r="H87" s="162"/>
      <c r="I87" s="165">
        <f t="shared" si="19"/>
        <v>0</v>
      </c>
      <c r="J87" s="165"/>
      <c r="K87" s="165">
        <v>0</v>
      </c>
      <c r="L87" s="165">
        <f t="shared" si="20"/>
        <v>0</v>
      </c>
      <c r="M87" s="165"/>
      <c r="N87" s="162">
        <f>E87-лютий!E84</f>
        <v>0</v>
      </c>
      <c r="O87" s="166">
        <f>F87-лютий!F84</f>
        <v>0</v>
      </c>
      <c r="P87" s="165">
        <f t="shared" si="21"/>
        <v>0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11852.699999999999</v>
      </c>
      <c r="F88" s="189">
        <f>F74+F75+F80+F85+F86</f>
        <v>3654.0099999999993</v>
      </c>
      <c r="G88" s="190">
        <f>F88-E88</f>
        <v>-8198.689999999999</v>
      </c>
      <c r="H88" s="191">
        <f>F88/E88*100</f>
        <v>30.828503210239017</v>
      </c>
      <c r="I88" s="192">
        <f>F88-D88</f>
        <v>-242002.02</v>
      </c>
      <c r="J88" s="192">
        <f>F88/D88*100</f>
        <v>1.487449748333065</v>
      </c>
      <c r="K88" s="192">
        <v>10307.64</v>
      </c>
      <c r="L88" s="192">
        <f>F88-K88</f>
        <v>-6653.63</v>
      </c>
      <c r="M88" s="219">
        <f t="shared" si="22"/>
        <v>0.3544953063940921</v>
      </c>
      <c r="N88" s="189">
        <f>N74+N75+N80+N85+N86</f>
        <v>7465.8</v>
      </c>
      <c r="O88" s="189">
        <f>O74+O75+O80+O85+O86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17"/>
      <c r="H92" s="317"/>
      <c r="I92" s="317"/>
      <c r="J92" s="317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318"/>
      <c r="P93" s="318"/>
    </row>
    <row r="94" spans="3:16" ht="15">
      <c r="C94" s="80">
        <v>42824</v>
      </c>
      <c r="D94" s="28">
        <v>11112.7</v>
      </c>
      <c r="F94" s="112" t="s">
        <v>58</v>
      </c>
      <c r="G94" s="319"/>
      <c r="H94" s="319"/>
      <c r="I94" s="117"/>
      <c r="J94" s="320"/>
      <c r="K94" s="320"/>
      <c r="L94" s="320"/>
      <c r="M94" s="320"/>
      <c r="N94" s="320"/>
      <c r="O94" s="318"/>
      <c r="P94" s="318"/>
    </row>
    <row r="95" spans="3:16" ht="15.75" customHeight="1">
      <c r="C95" s="80">
        <v>42823</v>
      </c>
      <c r="D95" s="28">
        <v>8830.3</v>
      </c>
      <c r="F95" s="67"/>
      <c r="G95" s="319"/>
      <c r="H95" s="319"/>
      <c r="I95" s="117"/>
      <c r="J95" s="321"/>
      <c r="K95" s="321"/>
      <c r="L95" s="321"/>
      <c r="M95" s="321"/>
      <c r="N95" s="321"/>
      <c r="O95" s="318"/>
      <c r="P95" s="318"/>
    </row>
    <row r="96" spans="3:14" ht="15.75" customHeight="1">
      <c r="C96" s="80"/>
      <c r="F96" s="67"/>
      <c r="G96" s="325"/>
      <c r="H96" s="325"/>
      <c r="I96" s="123"/>
      <c r="J96" s="320"/>
      <c r="K96" s="320"/>
      <c r="L96" s="320"/>
      <c r="M96" s="320"/>
      <c r="N96" s="320"/>
    </row>
    <row r="97" spans="2:14" ht="18" customHeight="1">
      <c r="B97" s="326" t="s">
        <v>56</v>
      </c>
      <c r="C97" s="327"/>
      <c r="D97" s="132">
        <v>1399.2856000000002</v>
      </c>
      <c r="E97" s="68"/>
      <c r="F97" s="124" t="s">
        <v>105</v>
      </c>
      <c r="G97" s="319"/>
      <c r="H97" s="319"/>
      <c r="I97" s="125"/>
      <c r="J97" s="320"/>
      <c r="K97" s="320"/>
      <c r="L97" s="320"/>
      <c r="M97" s="320"/>
      <c r="N97" s="320"/>
    </row>
    <row r="98" spans="6:13" ht="9.75" customHeight="1">
      <c r="F98" s="67"/>
      <c r="G98" s="319"/>
      <c r="H98" s="319"/>
      <c r="I98" s="67"/>
      <c r="J98" s="68"/>
      <c r="K98" s="68"/>
      <c r="L98" s="68"/>
      <c r="M98" s="68"/>
    </row>
    <row r="99" spans="2:13" ht="22.5" customHeight="1" hidden="1">
      <c r="B99" s="322" t="s">
        <v>59</v>
      </c>
      <c r="C99" s="323"/>
      <c r="D99" s="79">
        <v>0</v>
      </c>
      <c r="E99" s="50" t="s">
        <v>24</v>
      </c>
      <c r="F99" s="67"/>
      <c r="G99" s="319"/>
      <c r="H99" s="319"/>
      <c r="I99" s="67"/>
      <c r="J99" s="68"/>
      <c r="K99" s="68"/>
      <c r="L99" s="68"/>
      <c r="M99" s="68"/>
    </row>
    <row r="100" spans="2:16" ht="15" hidden="1">
      <c r="B100" s="281" t="s">
        <v>182</v>
      </c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283">
        <f>F100/E100*100</f>
        <v>122.94692737430167</v>
      </c>
      <c r="I100" s="68"/>
      <c r="K100" s="200">
        <f>K48+K51+K52</f>
        <v>1.2</v>
      </c>
      <c r="L100" s="28">
        <f>F100-K100</f>
        <v>438.95</v>
      </c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324"/>
      <c r="P101" s="324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23.879531548202163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23.879531548202163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-22.48507931166913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19583.200000000026</v>
      </c>
    </row>
    <row r="108" spans="2:5" ht="15" hidden="1">
      <c r="B108" s="242" t="s">
        <v>153</v>
      </c>
      <c r="E108" s="28">
        <f>E88-E83-E76-E77</f>
        <v>4666.399999999998</v>
      </c>
    </row>
    <row r="109" ht="15" hidden="1"/>
    <row r="110" spans="2:23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6">
        <f>F111/K111</f>
        <v>7.864918565596555</v>
      </c>
      <c r="N111" s="269"/>
      <c r="O111" s="269"/>
      <c r="P111" s="270"/>
      <c r="Q111" s="270"/>
      <c r="R111" s="268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168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6">
        <f>F112/K112</f>
        <v>1.4171022100582904</v>
      </c>
      <c r="N112" s="271"/>
      <c r="O112" s="271"/>
      <c r="P112" s="270"/>
      <c r="Q112" s="270"/>
      <c r="R112" s="268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170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141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887467.26</v>
      </c>
      <c r="F124" s="274">
        <f>F112+F113</f>
        <v>877166.4099999999</v>
      </c>
      <c r="G124" s="275">
        <f t="shared" si="27"/>
        <v>-10300.850000000093</v>
      </c>
      <c r="H124" s="274">
        <f t="shared" si="29"/>
        <v>98.83929802661113</v>
      </c>
      <c r="I124" s="276">
        <f t="shared" si="28"/>
        <v>-2021257.6300000001</v>
      </c>
      <c r="J124" s="276">
        <f t="shared" si="30"/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2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88" t="s">
        <v>138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85"/>
      <c r="S1" s="86"/>
    </row>
    <row r="2" spans="2:19" s="1" customFormat="1" ht="15.75" customHeight="1">
      <c r="B2" s="289"/>
      <c r="C2" s="289"/>
      <c r="D2" s="289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90"/>
      <c r="B3" s="292"/>
      <c r="C3" s="293" t="s">
        <v>0</v>
      </c>
      <c r="D3" s="294" t="s">
        <v>137</v>
      </c>
      <c r="E3" s="31"/>
      <c r="F3" s="295" t="s">
        <v>26</v>
      </c>
      <c r="G3" s="296"/>
      <c r="H3" s="296"/>
      <c r="I3" s="296"/>
      <c r="J3" s="297"/>
      <c r="K3" s="82"/>
      <c r="L3" s="82"/>
      <c r="M3" s="82"/>
      <c r="N3" s="298" t="s">
        <v>131</v>
      </c>
      <c r="O3" s="301" t="s">
        <v>135</v>
      </c>
      <c r="P3" s="301"/>
      <c r="Q3" s="301"/>
      <c r="R3" s="301"/>
      <c r="S3" s="301"/>
    </row>
    <row r="4" spans="1:19" ht="22.5" customHeight="1">
      <c r="A4" s="290"/>
      <c r="B4" s="292"/>
      <c r="C4" s="293"/>
      <c r="D4" s="294"/>
      <c r="E4" s="302" t="s">
        <v>136</v>
      </c>
      <c r="F4" s="304" t="s">
        <v>33</v>
      </c>
      <c r="G4" s="306" t="s">
        <v>132</v>
      </c>
      <c r="H4" s="299" t="s">
        <v>133</v>
      </c>
      <c r="I4" s="306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8" t="s">
        <v>139</v>
      </c>
      <c r="P4" s="306" t="s">
        <v>49</v>
      </c>
      <c r="Q4" s="310" t="s">
        <v>48</v>
      </c>
      <c r="R4" s="90" t="s">
        <v>64</v>
      </c>
      <c r="S4" s="91" t="s">
        <v>63</v>
      </c>
    </row>
    <row r="5" spans="1:19" ht="67.5" customHeight="1">
      <c r="A5" s="291"/>
      <c r="B5" s="292"/>
      <c r="C5" s="293"/>
      <c r="D5" s="294"/>
      <c r="E5" s="303"/>
      <c r="F5" s="305"/>
      <c r="G5" s="307"/>
      <c r="H5" s="300"/>
      <c r="I5" s="307"/>
      <c r="J5" s="300"/>
      <c r="K5" s="311" t="s">
        <v>134</v>
      </c>
      <c r="L5" s="312"/>
      <c r="M5" s="313"/>
      <c r="N5" s="300"/>
      <c r="O5" s="309"/>
      <c r="P5" s="307"/>
      <c r="Q5" s="310"/>
      <c r="R5" s="311" t="s">
        <v>102</v>
      </c>
      <c r="S5" s="313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26.66</v>
      </c>
      <c r="G72" s="183">
        <f aca="true" t="shared" si="19" ref="G72:G84">F72-E72</f>
        <v>26.66</v>
      </c>
      <c r="H72" s="184"/>
      <c r="I72" s="185">
        <f aca="true" t="shared" si="20" ref="I72:I84">F72-D72</f>
        <v>26.66</v>
      </c>
      <c r="J72" s="185"/>
      <c r="K72" s="185">
        <v>0</v>
      </c>
      <c r="L72" s="185">
        <f aca="true" t="shared" si="21" ref="L72:L84">F72-K72</f>
        <v>26.66</v>
      </c>
      <c r="M72" s="207"/>
      <c r="N72" s="184">
        <f>E72-'січень 17'!E72</f>
        <v>0</v>
      </c>
      <c r="O72" s="286">
        <f>F72-'січень 17'!F72</f>
        <v>14.85</v>
      </c>
      <c r="P72" s="185">
        <f aca="true" t="shared" si="22" ref="P72:P86">O72-N72</f>
        <v>14.85</v>
      </c>
      <c r="Q72" s="18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t="shared" si="19"/>
        <v>0.07</v>
      </c>
      <c r="H73" s="162"/>
      <c r="I73" s="165">
        <f t="shared" si="20"/>
        <v>-104205.95999999999</v>
      </c>
      <c r="J73" s="165">
        <f>F73/D73*100</f>
        <v>6.71746155188908E-05</v>
      </c>
      <c r="K73" s="165">
        <v>0.1</v>
      </c>
      <c r="L73" s="165">
        <f t="shared" si="21"/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t="shared" si="22"/>
        <v>0.030000000000000006</v>
      </c>
      <c r="Q73" s="165"/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/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/>
      <c r="N84" s="162">
        <f>E84-'січень 17'!E84</f>
        <v>0</v>
      </c>
      <c r="O84" s="166">
        <f>F84-'січень 17'!F84</f>
        <v>0</v>
      </c>
      <c r="P84" s="165">
        <f t="shared" si="22"/>
        <v>0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245656.03</v>
      </c>
      <c r="E85" s="189">
        <f>E71+E72+E77+E82+E83</f>
        <v>4386.9</v>
      </c>
      <c r="F85" s="189">
        <f>F71+F72+F77+F82+F83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N71+N72+N77+N82+N83</f>
        <v>3376</v>
      </c>
      <c r="O85" s="189">
        <f>O71+O72+O77+O82+O83</f>
        <v>3289.629999999999</v>
      </c>
      <c r="P85" s="192">
        <f t="shared" si="22"/>
        <v>-86.3700000000008</v>
      </c>
      <c r="Q85" s="192">
        <f>O85/N85*100</f>
        <v>97.44164691943126</v>
      </c>
      <c r="R85" s="26">
        <f>O85-8104.96</f>
        <v>-4815.330000000001</v>
      </c>
      <c r="S85" s="94">
        <f>O85/8104.96</f>
        <v>0.40587862247315215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17"/>
      <c r="H89" s="317"/>
      <c r="I89" s="317"/>
      <c r="J89" s="317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318"/>
      <c r="P90" s="318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319"/>
      <c r="H91" s="319"/>
      <c r="I91" s="117"/>
      <c r="J91" s="320"/>
      <c r="K91" s="320"/>
      <c r="L91" s="320"/>
      <c r="M91" s="320"/>
      <c r="N91" s="320"/>
      <c r="O91" s="318"/>
      <c r="P91" s="318"/>
    </row>
    <row r="92" spans="3:16" ht="15.75" customHeight="1">
      <c r="C92" s="80">
        <v>42790</v>
      </c>
      <c r="D92" s="28">
        <v>4206.9</v>
      </c>
      <c r="F92" s="67"/>
      <c r="G92" s="319"/>
      <c r="H92" s="319"/>
      <c r="I92" s="117"/>
      <c r="J92" s="321"/>
      <c r="K92" s="321"/>
      <c r="L92" s="321"/>
      <c r="M92" s="321"/>
      <c r="N92" s="321"/>
      <c r="O92" s="318"/>
      <c r="P92" s="318"/>
    </row>
    <row r="93" spans="3:14" ht="15.75" customHeight="1">
      <c r="C93" s="80"/>
      <c r="F93" s="67"/>
      <c r="G93" s="325"/>
      <c r="H93" s="325"/>
      <c r="I93" s="123"/>
      <c r="J93" s="320"/>
      <c r="K93" s="320"/>
      <c r="L93" s="320"/>
      <c r="M93" s="320"/>
      <c r="N93" s="320"/>
    </row>
    <row r="94" spans="2:14" ht="18.75" customHeight="1">
      <c r="B94" s="326" t="s">
        <v>56</v>
      </c>
      <c r="C94" s="327"/>
      <c r="D94" s="132">
        <v>7713.34596</v>
      </c>
      <c r="E94" s="68"/>
      <c r="F94" s="124" t="s">
        <v>105</v>
      </c>
      <c r="G94" s="319"/>
      <c r="H94" s="319"/>
      <c r="I94" s="125"/>
      <c r="J94" s="320"/>
      <c r="K94" s="320"/>
      <c r="L94" s="320"/>
      <c r="M94" s="320"/>
      <c r="N94" s="320"/>
    </row>
    <row r="95" spans="6:13" ht="9.75" customHeight="1">
      <c r="F95" s="67"/>
      <c r="G95" s="319"/>
      <c r="H95" s="319"/>
      <c r="I95" s="67"/>
      <c r="J95" s="68"/>
      <c r="K95" s="68"/>
      <c r="L95" s="68"/>
      <c r="M95" s="68"/>
    </row>
    <row r="96" spans="2:13" ht="22.5" customHeight="1" hidden="1">
      <c r="B96" s="322" t="s">
        <v>59</v>
      </c>
      <c r="C96" s="323"/>
      <c r="D96" s="79">
        <v>0</v>
      </c>
      <c r="E96" s="50" t="s">
        <v>24</v>
      </c>
      <c r="F96" s="67"/>
      <c r="G96" s="319"/>
      <c r="H96" s="319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324"/>
      <c r="P98" s="324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88" t="s">
        <v>130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85"/>
      <c r="S1" s="86"/>
    </row>
    <row r="2" spans="2:19" s="1" customFormat="1" ht="15.75" customHeight="1">
      <c r="B2" s="289"/>
      <c r="C2" s="289"/>
      <c r="D2" s="289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90"/>
      <c r="B3" s="292"/>
      <c r="C3" s="293" t="s">
        <v>0</v>
      </c>
      <c r="D3" s="294" t="s">
        <v>121</v>
      </c>
      <c r="E3" s="31"/>
      <c r="F3" s="295" t="s">
        <v>26</v>
      </c>
      <c r="G3" s="296"/>
      <c r="H3" s="296"/>
      <c r="I3" s="296"/>
      <c r="J3" s="297"/>
      <c r="K3" s="82"/>
      <c r="L3" s="82"/>
      <c r="M3" s="82"/>
      <c r="N3" s="298" t="s">
        <v>119</v>
      </c>
      <c r="O3" s="301" t="s">
        <v>115</v>
      </c>
      <c r="P3" s="301"/>
      <c r="Q3" s="301"/>
      <c r="R3" s="301"/>
      <c r="S3" s="301"/>
    </row>
    <row r="4" spans="1:19" ht="22.5" customHeight="1">
      <c r="A4" s="290"/>
      <c r="B4" s="292"/>
      <c r="C4" s="293"/>
      <c r="D4" s="294"/>
      <c r="E4" s="302" t="s">
        <v>122</v>
      </c>
      <c r="F4" s="304" t="s">
        <v>33</v>
      </c>
      <c r="G4" s="306" t="s">
        <v>123</v>
      </c>
      <c r="H4" s="299" t="s">
        <v>124</v>
      </c>
      <c r="I4" s="306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8" t="s">
        <v>120</v>
      </c>
      <c r="P4" s="306" t="s">
        <v>49</v>
      </c>
      <c r="Q4" s="310" t="s">
        <v>48</v>
      </c>
      <c r="R4" s="90" t="s">
        <v>64</v>
      </c>
      <c r="S4" s="91" t="s">
        <v>63</v>
      </c>
    </row>
    <row r="5" spans="1:19" ht="67.5" customHeight="1">
      <c r="A5" s="291"/>
      <c r="B5" s="292"/>
      <c r="C5" s="293"/>
      <c r="D5" s="294"/>
      <c r="E5" s="303"/>
      <c r="F5" s="305"/>
      <c r="G5" s="307"/>
      <c r="H5" s="300"/>
      <c r="I5" s="307"/>
      <c r="J5" s="300"/>
      <c r="K5" s="311" t="s">
        <v>129</v>
      </c>
      <c r="L5" s="312"/>
      <c r="M5" s="313"/>
      <c r="N5" s="300"/>
      <c r="O5" s="309"/>
      <c r="P5" s="307"/>
      <c r="Q5" s="310"/>
      <c r="R5" s="311" t="s">
        <v>102</v>
      </c>
      <c r="S5" s="313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11.81</v>
      </c>
      <c r="G72" s="183">
        <f aca="true" t="shared" si="19" ref="G72:G84">F72-E72</f>
        <v>11.81</v>
      </c>
      <c r="H72" s="184"/>
      <c r="I72" s="185">
        <f aca="true" t="shared" si="20" ref="I72:I84">F72-D72</f>
        <v>11.81</v>
      </c>
      <c r="J72" s="185"/>
      <c r="K72" s="185">
        <v>0</v>
      </c>
      <c r="L72" s="185">
        <f aca="true" t="shared" si="21" ref="L72:L84">F72-K72</f>
        <v>11.81</v>
      </c>
      <c r="M72" s="207"/>
      <c r="N72" s="160">
        <v>0</v>
      </c>
      <c r="O72" s="180">
        <f>F72</f>
        <v>11.81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t="shared" si="19"/>
        <v>0.04</v>
      </c>
      <c r="H73" s="162"/>
      <c r="I73" s="165">
        <f t="shared" si="20"/>
        <v>-3999.96</v>
      </c>
      <c r="J73" s="165">
        <f>F73/D73*100</f>
        <v>0.001</v>
      </c>
      <c r="K73" s="165">
        <v>0.06</v>
      </c>
      <c r="L73" s="165">
        <f t="shared" si="21"/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>
        <v>0</v>
      </c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30450</v>
      </c>
      <c r="E85" s="189">
        <f>E71+E72+E77+E82+E83</f>
        <v>1010.9</v>
      </c>
      <c r="F85" s="189">
        <f>F71+F72+F77+F82+F83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17"/>
      <c r="H89" s="317"/>
      <c r="I89" s="317"/>
      <c r="J89" s="317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318"/>
      <c r="P90" s="318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319"/>
      <c r="H91" s="319"/>
      <c r="I91" s="117"/>
      <c r="J91" s="320"/>
      <c r="K91" s="320"/>
      <c r="L91" s="320"/>
      <c r="M91" s="320"/>
      <c r="N91" s="320"/>
      <c r="O91" s="318"/>
      <c r="P91" s="318"/>
    </row>
    <row r="92" spans="3:16" ht="15.75" customHeight="1">
      <c r="C92" s="80">
        <v>42762</v>
      </c>
      <c r="D92" s="28">
        <v>8862.4</v>
      </c>
      <c r="F92" s="67"/>
      <c r="G92" s="319"/>
      <c r="H92" s="319"/>
      <c r="I92" s="117"/>
      <c r="J92" s="321"/>
      <c r="K92" s="321"/>
      <c r="L92" s="321"/>
      <c r="M92" s="321"/>
      <c r="N92" s="321"/>
      <c r="O92" s="318"/>
      <c r="P92" s="318"/>
    </row>
    <row r="93" spans="3:14" ht="15.75" customHeight="1">
      <c r="C93" s="80"/>
      <c r="F93" s="67"/>
      <c r="G93" s="325"/>
      <c r="H93" s="325"/>
      <c r="I93" s="123"/>
      <c r="J93" s="320"/>
      <c r="K93" s="320"/>
      <c r="L93" s="320"/>
      <c r="M93" s="320"/>
      <c r="N93" s="320"/>
    </row>
    <row r="94" spans="2:14" ht="18.75" customHeight="1">
      <c r="B94" s="326" t="s">
        <v>56</v>
      </c>
      <c r="C94" s="327"/>
      <c r="D94" s="132">
        <f>9505303.41/1000</f>
        <v>9505.30341</v>
      </c>
      <c r="E94" s="68"/>
      <c r="F94" s="124" t="s">
        <v>105</v>
      </c>
      <c r="G94" s="319"/>
      <c r="H94" s="319"/>
      <c r="I94" s="125"/>
      <c r="J94" s="320"/>
      <c r="K94" s="320"/>
      <c r="L94" s="320"/>
      <c r="M94" s="320"/>
      <c r="N94" s="320"/>
    </row>
    <row r="95" spans="6:13" ht="9.75" customHeight="1">
      <c r="F95" s="67"/>
      <c r="G95" s="319"/>
      <c r="H95" s="319"/>
      <c r="I95" s="67"/>
      <c r="J95" s="68"/>
      <c r="K95" s="68"/>
      <c r="L95" s="68"/>
      <c r="M95" s="68"/>
    </row>
    <row r="96" spans="2:13" ht="22.5" customHeight="1" hidden="1">
      <c r="B96" s="322" t="s">
        <v>59</v>
      </c>
      <c r="C96" s="323"/>
      <c r="D96" s="79">
        <v>0</v>
      </c>
      <c r="E96" s="50" t="s">
        <v>24</v>
      </c>
      <c r="F96" s="67"/>
      <c r="G96" s="319"/>
      <c r="H96" s="319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324"/>
      <c r="P98" s="324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2017-06-08T09:43:39Z</cp:lastPrinted>
  <dcterms:created xsi:type="dcterms:W3CDTF">2003-07-28T11:27:56Z</dcterms:created>
  <dcterms:modified xsi:type="dcterms:W3CDTF">2017-06-08T11:37:32Z</dcterms:modified>
  <cp:category/>
  <cp:version/>
  <cp:contentType/>
  <cp:contentStatus/>
</cp:coreProperties>
</file>